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2Q21/Børsmelding/"/>
    </mc:Choice>
  </mc:AlternateContent>
  <xr:revisionPtr revIDLastSave="1486" documentId="8_{338F21F7-1D31-4D38-AA1D-4F9D80D6BDA4}" xr6:coauthVersionLast="47" xr6:coauthVersionMax="47" xr10:uidLastSave="{D783FB2D-D469-4A2D-94A2-D68433C97E6A}"/>
  <bookViews>
    <workbookView xWindow="-108" yWindow="-108" windowWidth="23256" windowHeight="11964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format'!$A$1:$Q$117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7" i="31" l="1"/>
  <c r="P112" i="31"/>
  <c r="Q68" i="31" l="1"/>
  <c r="Q12" i="31"/>
  <c r="Q7" i="31"/>
  <c r="Q50" i="31"/>
  <c r="P50" i="31" s="1"/>
  <c r="P67" i="31"/>
  <c r="P65" i="31"/>
  <c r="P95" i="31"/>
  <c r="P87" i="31"/>
  <c r="P82" i="31"/>
  <c r="P80" i="31"/>
  <c r="P79" i="31"/>
  <c r="P78" i="31"/>
  <c r="P77" i="31"/>
  <c r="P76" i="31"/>
  <c r="P75" i="31"/>
  <c r="P70" i="31"/>
  <c r="P63" i="31"/>
  <c r="P62" i="31"/>
  <c r="P61" i="31"/>
  <c r="P60" i="31"/>
  <c r="P59" i="31"/>
  <c r="P58" i="31"/>
  <c r="P37" i="31"/>
  <c r="P36" i="31"/>
  <c r="Q45" i="31"/>
  <c r="P45" i="31" s="1"/>
  <c r="Q44" i="31"/>
  <c r="P53" i="31"/>
  <c r="P48" i="31"/>
  <c r="P46" i="31"/>
  <c r="P4" i="31"/>
  <c r="P34" i="31" l="1"/>
  <c r="P32" i="31"/>
  <c r="P26" i="31"/>
  <c r="P21" i="31"/>
  <c r="P17" i="31"/>
  <c r="P12" i="31"/>
  <c r="P7" i="31"/>
  <c r="P9" i="31" s="1"/>
  <c r="Q9" i="31"/>
  <c r="P5" i="31"/>
  <c r="Q5" i="31"/>
  <c r="Q14" i="31" l="1"/>
  <c r="Q15" i="31" s="1"/>
  <c r="P10" i="31"/>
  <c r="Q10" i="31"/>
  <c r="P14" i="31"/>
  <c r="P15" i="31" s="1"/>
  <c r="P19" i="31"/>
  <c r="P23" i="31" s="1"/>
  <c r="Q19" i="31" l="1"/>
  <c r="Q23" i="31" s="1"/>
  <c r="Q29" i="31" s="1"/>
  <c r="Q30" i="31" s="1"/>
  <c r="P29" i="31"/>
  <c r="P30" i="31" s="1"/>
  <c r="P27" i="31"/>
  <c r="P24" i="31"/>
  <c r="Q101" i="31"/>
  <c r="Q100" i="31"/>
  <c r="Q27" i="31" l="1"/>
  <c r="Q24" i="31"/>
  <c r="Q96" i="31"/>
  <c r="Q85" i="31"/>
  <c r="Q81" i="31"/>
  <c r="Q83" i="31" s="1"/>
  <c r="Q71" i="31"/>
  <c r="Q64" i="31"/>
  <c r="Q66" i="31" s="1"/>
  <c r="Q51" i="31"/>
  <c r="Q47" i="31"/>
  <c r="P96" i="31"/>
  <c r="P81" i="31"/>
  <c r="P114" i="31" s="1"/>
  <c r="P68" i="31"/>
  <c r="P64" i="31"/>
  <c r="Q49" i="31" l="1"/>
  <c r="Q114" i="31"/>
  <c r="P117" i="31"/>
  <c r="P113" i="31"/>
  <c r="Q54" i="31"/>
  <c r="Q55" i="31" s="1"/>
  <c r="P71" i="31"/>
  <c r="P72" i="31" s="1"/>
  <c r="Q72" i="31"/>
  <c r="P66" i="31"/>
  <c r="P109" i="31"/>
  <c r="P83" i="31"/>
  <c r="Q52" i="31"/>
  <c r="Q88" i="31"/>
  <c r="Q89" i="31" s="1"/>
  <c r="Q86" i="31"/>
  <c r="Q69" i="31"/>
  <c r="P69" i="31"/>
  <c r="Q109" i="31" l="1"/>
  <c r="P108" i="31"/>
  <c r="P116" i="31"/>
  <c r="Q113" i="31"/>
  <c r="P51" i="31"/>
  <c r="P54" i="31" s="1"/>
  <c r="Q108" i="31" l="1"/>
  <c r="O44" i="31" l="1"/>
  <c r="P44" i="31" s="1"/>
  <c r="O43" i="31"/>
  <c r="P43" i="31" s="1"/>
  <c r="P47" i="31" l="1"/>
  <c r="P49" i="31" l="1"/>
  <c r="P52" i="31"/>
  <c r="P55" i="31"/>
  <c r="O84" i="31"/>
  <c r="P84" i="31" s="1"/>
  <c r="P85" i="31" s="1"/>
  <c r="P88" i="31" l="1"/>
  <c r="P86" i="31"/>
  <c r="O117" i="31"/>
  <c r="O116" i="31"/>
  <c r="O96" i="31"/>
  <c r="O85" i="31"/>
  <c r="O81" i="31"/>
  <c r="O83" i="31" s="1"/>
  <c r="O68" i="31"/>
  <c r="O51" i="31"/>
  <c r="O54" i="31" s="1"/>
  <c r="O47" i="31"/>
  <c r="O49" i="31" s="1"/>
  <c r="O9" i="31"/>
  <c r="O14" i="31" s="1"/>
  <c r="O5" i="31"/>
  <c r="L117" i="31"/>
  <c r="P89" i="31" l="1"/>
  <c r="O88" i="31"/>
  <c r="O89" i="31" s="1"/>
  <c r="O15" i="31"/>
  <c r="O19" i="31"/>
  <c r="O55" i="31"/>
  <c r="O10" i="31"/>
  <c r="O52" i="31"/>
  <c r="O64" i="31"/>
  <c r="O71" i="31"/>
  <c r="O86" i="31"/>
  <c r="O23" i="31" l="1"/>
  <c r="O66" i="31"/>
  <c r="O72" i="31"/>
  <c r="O69" i="31"/>
  <c r="O27" i="31" l="1"/>
  <c r="O24" i="31"/>
  <c r="O29" i="31"/>
  <c r="O30" i="31" s="1"/>
  <c r="C117" i="31" l="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 l="1"/>
  <c r="E65" i="31"/>
  <c r="F84" i="31"/>
  <c r="F95" i="31"/>
  <c r="J80" i="31"/>
  <c r="J76" i="31"/>
  <c r="K78" i="31"/>
  <c r="K77" i="31"/>
  <c r="K76" i="31"/>
  <c r="K75" i="31"/>
  <c r="L78" i="31"/>
  <c r="L77" i="31"/>
  <c r="L76" i="31"/>
  <c r="L75" i="31"/>
  <c r="M76" i="31" l="1"/>
  <c r="M95" i="31"/>
  <c r="M87" i="31"/>
  <c r="M84" i="31"/>
  <c r="M82" i="31"/>
  <c r="M80" i="31"/>
  <c r="M79" i="31"/>
  <c r="M78" i="31"/>
  <c r="M77" i="31"/>
  <c r="M75" i="31"/>
  <c r="M70" i="31"/>
  <c r="M67" i="31"/>
  <c r="M65" i="31"/>
  <c r="M62" i="31"/>
  <c r="M61" i="31"/>
  <c r="M60" i="31"/>
  <c r="M58" i="31"/>
  <c r="G95" i="31"/>
  <c r="G84" i="31"/>
  <c r="G82" i="31"/>
  <c r="I63" i="31"/>
  <c r="M63" i="31" s="1"/>
  <c r="I59" i="31"/>
  <c r="M59" i="31" s="1"/>
  <c r="G77" i="31"/>
  <c r="G76" i="31"/>
  <c r="G62" i="31"/>
  <c r="G60" i="31"/>
  <c r="D67" i="31"/>
  <c r="G80" i="31" l="1"/>
  <c r="G79" i="31"/>
  <c r="G59" i="31"/>
  <c r="G75" i="31"/>
  <c r="G58" i="31"/>
  <c r="G63" i="31"/>
  <c r="G78" i="31"/>
  <c r="G61" i="31"/>
  <c r="E67" i="31"/>
  <c r="G67" i="31" l="1"/>
  <c r="G70" i="31"/>
  <c r="G87" i="31"/>
  <c r="L68" i="31"/>
  <c r="M85" i="31" l="1"/>
  <c r="L85" i="31"/>
  <c r="K85" i="31"/>
  <c r="J85" i="31"/>
  <c r="I85" i="31"/>
  <c r="G85" i="31"/>
  <c r="F85" i="31"/>
  <c r="E85" i="31"/>
  <c r="D85" i="31"/>
  <c r="C85" i="31"/>
  <c r="M81" i="31"/>
  <c r="L81" i="31"/>
  <c r="K81" i="31"/>
  <c r="J81" i="31"/>
  <c r="I81" i="31"/>
  <c r="G81" i="31"/>
  <c r="F81" i="31"/>
  <c r="E81" i="31"/>
  <c r="D81" i="31"/>
  <c r="C81" i="31"/>
  <c r="M68" i="31"/>
  <c r="K68" i="31"/>
  <c r="J68" i="31"/>
  <c r="I68" i="31"/>
  <c r="G68" i="31"/>
  <c r="E68" i="31"/>
  <c r="D68" i="31"/>
  <c r="C68" i="31"/>
  <c r="F68" i="31"/>
  <c r="M64" i="31"/>
  <c r="K64" i="31"/>
  <c r="J64" i="31"/>
  <c r="I64" i="31"/>
  <c r="G64" i="31"/>
  <c r="E64" i="31"/>
  <c r="D64" i="31"/>
  <c r="C64" i="31"/>
  <c r="L64" i="31"/>
  <c r="F64" i="31"/>
  <c r="F4" i="31"/>
  <c r="F7" i="31"/>
  <c r="C9" i="31"/>
  <c r="D9" i="31"/>
  <c r="E9" i="31"/>
  <c r="F12" i="31"/>
  <c r="F17" i="31"/>
  <c r="C21" i="31"/>
  <c r="F21" i="31" s="1"/>
  <c r="F32" i="31"/>
  <c r="F43" i="31"/>
  <c r="F44" i="31"/>
  <c r="F45" i="31"/>
  <c r="F46" i="31"/>
  <c r="C47" i="31"/>
  <c r="C49" i="31" s="1"/>
  <c r="D47" i="31"/>
  <c r="D49" i="31" s="1"/>
  <c r="E47" i="31"/>
  <c r="E49" i="31" s="1"/>
  <c r="C50" i="31"/>
  <c r="C51" i="31" s="1"/>
  <c r="D51" i="31"/>
  <c r="D54" i="31" s="1"/>
  <c r="E51" i="31"/>
  <c r="E54" i="31" s="1"/>
  <c r="F53" i="31"/>
  <c r="F92" i="31"/>
  <c r="D96" i="31"/>
  <c r="E96" i="31"/>
  <c r="G101" i="31"/>
  <c r="G100" i="31"/>
  <c r="M96" i="31"/>
  <c r="K96" i="31"/>
  <c r="J96" i="31"/>
  <c r="I96" i="31"/>
  <c r="L96" i="31"/>
  <c r="F96" i="31"/>
  <c r="L53" i="31"/>
  <c r="M51" i="31"/>
  <c r="K51" i="31"/>
  <c r="K54" i="31" s="1"/>
  <c r="J51" i="31"/>
  <c r="I51" i="31"/>
  <c r="I54" i="31" s="1"/>
  <c r="L50" i="31"/>
  <c r="G50" i="31"/>
  <c r="L48" i="31"/>
  <c r="G48" i="31"/>
  <c r="K47" i="31"/>
  <c r="K49" i="31" s="1"/>
  <c r="J47" i="31"/>
  <c r="J49" i="31" s="1"/>
  <c r="I47" i="31"/>
  <c r="G47" i="31"/>
  <c r="L46" i="31"/>
  <c r="L45" i="31"/>
  <c r="M44" i="31"/>
  <c r="L43" i="31"/>
  <c r="L37" i="31"/>
  <c r="L36" i="31"/>
  <c r="L34" i="31"/>
  <c r="L32" i="31"/>
  <c r="L26" i="31"/>
  <c r="G26" i="31"/>
  <c r="L21" i="31"/>
  <c r="L17" i="31"/>
  <c r="L12" i="31"/>
  <c r="M9" i="31"/>
  <c r="K9" i="31"/>
  <c r="J9" i="31"/>
  <c r="I9" i="31"/>
  <c r="G9" i="31"/>
  <c r="L7" i="31"/>
  <c r="M5" i="31"/>
  <c r="K5" i="31"/>
  <c r="J5" i="31"/>
  <c r="I5" i="31"/>
  <c r="L4" i="31"/>
  <c r="M47" i="31" l="1"/>
  <c r="M52" i="31" s="1"/>
  <c r="F26" i="31"/>
  <c r="E10" i="31"/>
  <c r="J88" i="31"/>
  <c r="J89" i="31" s="1"/>
  <c r="D14" i="31"/>
  <c r="D15" i="31" s="1"/>
  <c r="K88" i="31"/>
  <c r="K89" i="31" s="1"/>
  <c r="E14" i="31"/>
  <c r="E15" i="31" s="1"/>
  <c r="L88" i="31"/>
  <c r="C71" i="31"/>
  <c r="E88" i="31"/>
  <c r="E89" i="31" s="1"/>
  <c r="F9" i="31"/>
  <c r="F10" i="31" s="1"/>
  <c r="C66" i="31"/>
  <c r="M71" i="31"/>
  <c r="M72" i="31" s="1"/>
  <c r="K83" i="31"/>
  <c r="L83" i="31"/>
  <c r="J83" i="31"/>
  <c r="M83" i="31"/>
  <c r="M54" i="31"/>
  <c r="D55" i="31"/>
  <c r="G83" i="31"/>
  <c r="E83" i="31"/>
  <c r="D83" i="31"/>
  <c r="C88" i="31"/>
  <c r="C89" i="31" s="1"/>
  <c r="C83" i="31"/>
  <c r="D71" i="31"/>
  <c r="D66" i="31"/>
  <c r="F88" i="31"/>
  <c r="F83" i="31"/>
  <c r="E71" i="31"/>
  <c r="E72" i="31" s="1"/>
  <c r="E66" i="31"/>
  <c r="G86" i="31"/>
  <c r="G71" i="31"/>
  <c r="G72" i="31" s="1"/>
  <c r="G66" i="31"/>
  <c r="I83" i="31"/>
  <c r="I71" i="31"/>
  <c r="I72" i="31" s="1"/>
  <c r="I66" i="31"/>
  <c r="J71" i="31"/>
  <c r="J72" i="31" s="1"/>
  <c r="J66" i="31"/>
  <c r="K71" i="31"/>
  <c r="K72" i="31" s="1"/>
  <c r="L66" i="31"/>
  <c r="M66" i="31"/>
  <c r="M49" i="31"/>
  <c r="J86" i="31"/>
  <c r="D86" i="31"/>
  <c r="I86" i="31"/>
  <c r="K86" i="31"/>
  <c r="E86" i="31"/>
  <c r="F86" i="31"/>
  <c r="M86" i="31"/>
  <c r="G88" i="31"/>
  <c r="M88" i="31"/>
  <c r="C86" i="31"/>
  <c r="L86" i="31"/>
  <c r="D88" i="31"/>
  <c r="D89" i="31" s="1"/>
  <c r="I88" i="31"/>
  <c r="K69" i="31"/>
  <c r="G69" i="31"/>
  <c r="C69" i="31"/>
  <c r="L71" i="31"/>
  <c r="L69" i="31"/>
  <c r="F71" i="31"/>
  <c r="F69" i="31"/>
  <c r="F66" i="31"/>
  <c r="K66" i="31"/>
  <c r="D69" i="31"/>
  <c r="I69" i="31"/>
  <c r="M69" i="31"/>
  <c r="E69" i="31"/>
  <c r="J69" i="31"/>
  <c r="C14" i="31"/>
  <c r="C19" i="31" s="1"/>
  <c r="D10" i="31"/>
  <c r="C10" i="31"/>
  <c r="F50" i="31"/>
  <c r="G51" i="31"/>
  <c r="G54" i="31" s="1"/>
  <c r="F47" i="31"/>
  <c r="D19" i="31"/>
  <c r="C52" i="31"/>
  <c r="C54" i="31"/>
  <c r="E55" i="31"/>
  <c r="L9" i="31"/>
  <c r="L14" i="31" s="1"/>
  <c r="L19" i="31" s="1"/>
  <c r="G10" i="31"/>
  <c r="K14" i="31"/>
  <c r="K55" i="31"/>
  <c r="D52" i="31"/>
  <c r="F48" i="31"/>
  <c r="G14" i="31"/>
  <c r="G15" i="31" s="1"/>
  <c r="E52" i="31"/>
  <c r="K10" i="31"/>
  <c r="G49" i="31"/>
  <c r="L44" i="31"/>
  <c r="J54" i="31"/>
  <c r="J52" i="31"/>
  <c r="I52" i="31"/>
  <c r="I14" i="31"/>
  <c r="I19" i="31" s="1"/>
  <c r="I10" i="31"/>
  <c r="J14" i="31"/>
  <c r="J19" i="31" s="1"/>
  <c r="J10" i="31"/>
  <c r="M14" i="31"/>
  <c r="M10" i="31"/>
  <c r="L51" i="31"/>
  <c r="I49" i="31"/>
  <c r="I55" i="31"/>
  <c r="L5" i="31"/>
  <c r="K52" i="31"/>
  <c r="CG50" i="25"/>
  <c r="G55" i="31" l="1"/>
  <c r="M55" i="31"/>
  <c r="L47" i="31"/>
  <c r="L52" i="31" s="1"/>
  <c r="C15" i="31"/>
  <c r="E19" i="31"/>
  <c r="E23" i="31" s="1"/>
  <c r="E24" i="31" s="1"/>
  <c r="L15" i="31"/>
  <c r="D72" i="31"/>
  <c r="F14" i="31"/>
  <c r="F15" i="31" s="1"/>
  <c r="C72" i="31"/>
  <c r="J55" i="31"/>
  <c r="L10" i="31"/>
  <c r="C55" i="31"/>
  <c r="G89" i="31"/>
  <c r="F89" i="31"/>
  <c r="F72" i="31"/>
  <c r="I89" i="31"/>
  <c r="L89" i="31"/>
  <c r="L72" i="31"/>
  <c r="M89" i="31"/>
  <c r="C23" i="31"/>
  <c r="C29" i="31" s="1"/>
  <c r="M19" i="31"/>
  <c r="G19" i="31"/>
  <c r="G23" i="31" s="1"/>
  <c r="G29" i="31" s="1"/>
  <c r="K15" i="31"/>
  <c r="K19" i="31"/>
  <c r="K23" i="31" s="1"/>
  <c r="K29" i="31" s="1"/>
  <c r="G52" i="31"/>
  <c r="F51" i="31"/>
  <c r="F49" i="31"/>
  <c r="D23" i="31"/>
  <c r="D29" i="31" s="1"/>
  <c r="L54" i="31"/>
  <c r="M15" i="31"/>
  <c r="I15" i="31"/>
  <c r="J15" i="31"/>
  <c r="L23" i="31"/>
  <c r="L29" i="31" s="1"/>
  <c r="CF27" i="25"/>
  <c r="CF17" i="25"/>
  <c r="CF97" i="25"/>
  <c r="CF84" i="25"/>
  <c r="CF85" i="25" s="1"/>
  <c r="CF76" i="25"/>
  <c r="CF73" i="25"/>
  <c r="CF71" i="25"/>
  <c r="CF69" i="25"/>
  <c r="CF68" i="25"/>
  <c r="CF67" i="25"/>
  <c r="CF66" i="25"/>
  <c r="CF65" i="25"/>
  <c r="CF64" i="25"/>
  <c r="CF59" i="25"/>
  <c r="CF56" i="25"/>
  <c r="CF54" i="25"/>
  <c r="CF52" i="25"/>
  <c r="CF51" i="25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E29" i="31" l="1"/>
  <c r="E30" i="31" s="1"/>
  <c r="E27" i="31"/>
  <c r="L49" i="31"/>
  <c r="C24" i="31"/>
  <c r="F19" i="31"/>
  <c r="F23" i="31" s="1"/>
  <c r="F29" i="31" s="1"/>
  <c r="F30" i="31" s="1"/>
  <c r="L55" i="31"/>
  <c r="C27" i="31"/>
  <c r="D27" i="31"/>
  <c r="D24" i="31"/>
  <c r="F52" i="31"/>
  <c r="F54" i="31"/>
  <c r="C30" i="31"/>
  <c r="I23" i="31"/>
  <c r="I29" i="31" s="1"/>
  <c r="L24" i="31"/>
  <c r="L27" i="31"/>
  <c r="G24" i="31"/>
  <c r="G27" i="31"/>
  <c r="J23" i="31"/>
  <c r="J29" i="31" s="1"/>
  <c r="M23" i="31"/>
  <c r="M29" i="31" s="1"/>
  <c r="K27" i="31"/>
  <c r="K24" i="31"/>
  <c r="CF70" i="25"/>
  <c r="CF74" i="25"/>
  <c r="CF57" i="25"/>
  <c r="CF53" i="25"/>
  <c r="CF9" i="25"/>
  <c r="CF10" i="25" s="1"/>
  <c r="F24" i="31" l="1"/>
  <c r="F27" i="31"/>
  <c r="F55" i="31"/>
  <c r="D30" i="31"/>
  <c r="M24" i="31"/>
  <c r="M27" i="31"/>
  <c r="J27" i="31"/>
  <c r="J24" i="31"/>
  <c r="L30" i="31"/>
  <c r="I24" i="31"/>
  <c r="I27" i="31"/>
  <c r="K30" i="31"/>
  <c r="CF72" i="25"/>
  <c r="CF55" i="25"/>
  <c r="CF75" i="25"/>
  <c r="CF60" i="25"/>
  <c r="CF61" i="25" s="1"/>
  <c r="CF77" i="25"/>
  <c r="CF78" i="25" s="1"/>
  <c r="CF14" i="25"/>
  <c r="CF58" i="25"/>
  <c r="J30" i="31" l="1"/>
  <c r="I30" i="31"/>
  <c r="G34" i="31"/>
  <c r="G30" i="31"/>
  <c r="M30" i="31"/>
  <c r="CF15" i="25"/>
  <c r="CF20" i="25"/>
  <c r="F34" i="31" l="1"/>
  <c r="CF24" i="25"/>
  <c r="CF25" i="25" l="1"/>
  <c r="CF30" i="25"/>
  <c r="CF28" i="25"/>
  <c r="CF35" i="25" l="1"/>
  <c r="CF36" i="25" s="1"/>
  <c r="CF31" i="25"/>
  <c r="CE70" i="25" l="1"/>
  <c r="CE53" i="25"/>
  <c r="CE97" i="25" l="1"/>
  <c r="CE9" i="25"/>
  <c r="CE5" i="25"/>
  <c r="CE85" i="25"/>
  <c r="CE74" i="25"/>
  <c r="CE72" i="25"/>
  <c r="CE57" i="25"/>
  <c r="CE60" i="25" s="1"/>
  <c r="CE61" i="25" s="1"/>
  <c r="CE55" i="25"/>
  <c r="CE75" i="25" l="1"/>
  <c r="CE77" i="25"/>
  <c r="CE78" i="25" s="1"/>
  <c r="CE10" i="25"/>
  <c r="CE14" i="25"/>
  <c r="CE58" i="25"/>
  <c r="CE15" i="25" l="1"/>
  <c r="CE20" i="25"/>
  <c r="CE24" i="25" l="1"/>
  <c r="CE28" i="25" l="1"/>
  <c r="CE25" i="25"/>
  <c r="CE30" i="25"/>
  <c r="CE31" i="25" l="1"/>
  <c r="CE35" i="25"/>
  <c r="CE36" i="25" l="1"/>
  <c r="CD97" i="25" l="1"/>
  <c r="CD85" i="25" l="1"/>
  <c r="CG85" i="25"/>
  <c r="CG74" i="25"/>
  <c r="CG77" i="25" s="1"/>
  <c r="CG70" i="25"/>
  <c r="CG57" i="25"/>
  <c r="CG60" i="25" s="1"/>
  <c r="CG53" i="25"/>
  <c r="CG9" i="25"/>
  <c r="CG72" i="25" l="1"/>
  <c r="CD70" i="25"/>
  <c r="CD74" i="25"/>
  <c r="CD77" i="25" s="1"/>
  <c r="CD9" i="25"/>
  <c r="CD14" i="25" s="1"/>
  <c r="CD5" i="25"/>
  <c r="CG61" i="25"/>
  <c r="CG14" i="25"/>
  <c r="CD57" i="25"/>
  <c r="CD53" i="25"/>
  <c r="CG78" i="25"/>
  <c r="CG58" i="25"/>
  <c r="CG10" i="25"/>
  <c r="CG55" i="25"/>
  <c r="CG75" i="25"/>
  <c r="CD75" i="25" l="1"/>
  <c r="CD10" i="25"/>
  <c r="CD72" i="25"/>
  <c r="CD78" i="25"/>
  <c r="CG15" i="25"/>
  <c r="CG20" i="25"/>
  <c r="CD58" i="25"/>
  <c r="CD55" i="25"/>
  <c r="CD60" i="25"/>
  <c r="CD61" i="25" s="1"/>
  <c r="CD15" i="25"/>
  <c r="CD20" i="25"/>
  <c r="CG24" i="25" l="1"/>
  <c r="CD24" i="25"/>
  <c r="CG25" i="25" l="1"/>
  <c r="CG28" i="25"/>
  <c r="CD28" i="25"/>
  <c r="CD25" i="25"/>
  <c r="CG30" i="25"/>
  <c r="CG35" i="25" s="1"/>
  <c r="CD30" i="25"/>
  <c r="CD35" i="25" s="1"/>
  <c r="CG36" i="25" l="1"/>
  <c r="CD36" i="25"/>
  <c r="CG31" i="25"/>
  <c r="CD31" i="25"/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CF5" i="25" s="1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72" i="25" s="1"/>
  <c r="BX53" i="25"/>
  <c r="BX55" i="25" s="1"/>
  <c r="BX74" i="25"/>
  <c r="BX77" i="25" s="1"/>
  <c r="CA70" i="25"/>
  <c r="CA72" i="25" s="1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55" i="25" s="1"/>
  <c r="BW22" i="25"/>
  <c r="BW9" i="25"/>
  <c r="BY57" i="25"/>
  <c r="BY60" i="25" s="1"/>
  <c r="BY61" i="25" s="1"/>
  <c r="BX9" i="25"/>
  <c r="BX57" i="25"/>
  <c r="BX5" i="25"/>
  <c r="BX58" i="25" l="1"/>
  <c r="BX78" i="25"/>
  <c r="BW14" i="25"/>
  <c r="BW15" i="25" s="1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75" i="25"/>
  <c r="BZ74" i="25"/>
  <c r="BW75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20" i="25" l="1"/>
  <c r="BZ77" i="25"/>
  <c r="BZ78" i="25" s="1"/>
  <c r="BY15" i="25"/>
  <c r="BW60" i="25"/>
  <c r="BW61" i="25" s="1"/>
  <c r="BZ75" i="25"/>
  <c r="BY20" i="25"/>
  <c r="BZ55" i="25"/>
  <c r="BZ57" i="25"/>
  <c r="BX20" i="25"/>
  <c r="BX15" i="25"/>
  <c r="CA58" i="25"/>
  <c r="CA60" i="25"/>
  <c r="CA61" i="25" s="1"/>
  <c r="BZ14" i="25"/>
  <c r="BZ10" i="25"/>
  <c r="CA15" i="25"/>
  <c r="CA20" i="25"/>
  <c r="BW24" i="25" l="1"/>
  <c r="BW28" i="25" s="1"/>
  <c r="BY24" i="25"/>
  <c r="BY28" i="25" s="1"/>
  <c r="BX24" i="25"/>
  <c r="BZ60" i="25"/>
  <c r="BZ61" i="25" s="1"/>
  <c r="BZ58" i="25"/>
  <c r="CA24" i="25"/>
  <c r="BZ15" i="25"/>
  <c r="BZ20" i="25"/>
  <c r="BY25" i="25" l="1"/>
  <c r="BW30" i="25"/>
  <c r="BW31" i="25" s="1"/>
  <c r="BW25" i="25"/>
  <c r="BY30" i="25"/>
  <c r="BY31" i="25" s="1"/>
  <c r="BX25" i="25"/>
  <c r="BX28" i="25"/>
  <c r="BX30" i="25"/>
  <c r="CA30" i="25"/>
  <c r="CA25" i="25"/>
  <c r="BZ24" i="25"/>
  <c r="BZ25" i="25" s="1"/>
  <c r="BW35" i="25" l="1"/>
  <c r="BY35" i="25"/>
  <c r="BY36" i="25" s="1"/>
  <c r="BX35" i="25"/>
  <c r="BX31" i="25"/>
  <c r="CA35" i="25"/>
  <c r="CA40" i="25" s="1"/>
  <c r="CA31" i="25"/>
  <c r="BZ27" i="25"/>
  <c r="CA28" i="25"/>
  <c r="BW36" i="25" l="1"/>
  <c r="BX36" i="25"/>
  <c r="BZ30" i="25"/>
  <c r="BZ28" i="25"/>
  <c r="CA36" i="25"/>
  <c r="BZ40" i="25" l="1"/>
  <c r="BZ31" i="25"/>
  <c r="BZ35" i="25"/>
  <c r="BZ36" i="25" l="1"/>
  <c r="G96" i="31" l="1"/>
  <c r="C96" i="31"/>
</calcChain>
</file>

<file path=xl/sharedStrings.xml><?xml version="1.0" encoding="utf-8"?>
<sst xmlns="http://schemas.openxmlformats.org/spreadsheetml/2006/main" count="619" uniqueCount="115">
  <si>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</si>
  <si>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</si>
  <si>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</si>
  <si>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</si>
  <si>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</si>
  <si>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</si>
  <si>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</si>
  <si>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</si>
  <si>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</si>
  <si>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</si>
  <si>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</si>
  <si>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>1Q21</t>
  </si>
  <si>
    <t>2Q21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</si>
  <si>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</si>
  <si>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</si>
  <si>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</si>
  <si>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</si>
  <si>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</si>
  <si>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</si>
  <si>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</si>
  <si>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</si>
  <si>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</si>
  <si>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</si>
  <si>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</si>
  <si>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</si>
  <si>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</si>
  <si>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</si>
  <si>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</si>
  <si>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</si>
  <si>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</si>
  <si>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</si>
  <si>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</si>
  <si>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</si>
  <si>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</si>
  <si>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</si>
  <si>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</si>
  <si>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</si>
  <si>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</si>
  <si>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</si>
  <si>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</si>
  <si>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</si>
  <si>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</si>
  <si>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</si>
  <si>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</si>
  <si>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Tomra Food Solutions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</si>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</sst>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68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40" fontId="9" fillId="0" borderId="0" xfId="1" applyNumberFormat="1" applyFont="1" applyAlignment="1">
      <alignment horizontal="right"/>
    </xf>
    <xf numFmtId="9" fontId="9" fillId="0" borderId="0" xfId="1" applyFont="1"/>
    <xf numFmtId="40" fontId="9" fillId="0" borderId="28" xfId="0" applyNumberFormat="1" applyFont="1" applyBorder="1"/>
    <xf numFmtId="165" fontId="9" fillId="0" borderId="17" xfId="0" applyNumberFormat="1" applyFont="1" applyBorder="1" applyAlignment="1">
      <alignment horizontal="centerContinuous"/>
    </xf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38" fontId="9" fillId="0" borderId="7" xfId="0" applyNumberFormat="1" applyFont="1" applyBorder="1" applyAlignment="1">
      <alignment horizontal="right" wrapText="1"/>
    </xf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38" fontId="9" fillId="0" borderId="0" xfId="0" applyNumberFormat="1" applyFont="1" applyBorder="1"/>
    <xf numFmtId="38" fontId="9" fillId="0" borderId="6" xfId="0" applyNumberFormat="1" applyFont="1" applyBorder="1"/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FFFFCC"/>
      <color rgb="FFE8EFED"/>
      <color rgb="FFFF8CAE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Q118"/>
  <sheetViews>
    <sheetView showGridLines="0" tabSelected="1" zoomScale="110" zoomScaleNormal="110" workbookViewId="0">
      <pane xSplit="1" topLeftCell="B1" activePane="topRight" state="frozen"/>
      <selection activeCell="AZ56" sqref="AZ56"/>
      <selection pane="topRight" activeCell="S109" sqref="S109"/>
    </sheetView>
  </sheetViews>
  <sheetFormatPr defaultColWidth="9.109375" defaultRowHeight="10.199999999999999" x14ac:dyDescent="0.2"/>
  <cols>
    <col min="1" max="1" width="23.33203125" style="7" customWidth="1"/>
    <col min="2" max="2" width="0.6640625" style="6" customWidth="1"/>
    <col min="3" max="7" width="6.88671875" style="7" customWidth="1"/>
    <col min="8" max="8" width="1" style="7" customWidth="1"/>
    <col min="9" max="13" width="6.88671875" style="7" customWidth="1"/>
    <col min="14" max="14" width="1.109375" style="7" customWidth="1"/>
    <col min="15" max="17" width="6.88671875" style="7" customWidth="1"/>
    <col min="18" max="16384" width="9.109375" style="7"/>
  </cols>
  <sheetData>
    <row r="1" spans="1:17" ht="16.2" thickBot="1" x14ac:dyDescent="0.35">
      <c r="A1" s="5" t="s">
        <v>0</v>
      </c>
      <c r="B1" s="61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  <c r="N1" s="2"/>
      <c r="O1" s="8">
        <v>2021</v>
      </c>
      <c r="P1" s="9"/>
      <c r="Q1" s="10"/>
    </row>
    <row r="2" spans="1:17" ht="10.8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  <c r="N2" s="2"/>
      <c r="O2" s="18" t="s">
        <v>11</v>
      </c>
      <c r="P2" s="19" t="s">
        <v>12</v>
      </c>
      <c r="Q2" s="20" t="s">
        <v>6</v>
      </c>
    </row>
    <row r="3" spans="1:17" ht="5.25" customHeight="1" x14ac:dyDescent="0.2">
      <c r="A3" s="30"/>
      <c r="B3" s="61"/>
      <c r="C3" s="63"/>
      <c r="D3" s="65"/>
      <c r="E3" s="65"/>
      <c r="F3" s="65"/>
      <c r="G3" s="64"/>
      <c r="H3" s="2"/>
      <c r="I3" s="63"/>
      <c r="J3" s="65"/>
      <c r="K3" s="65"/>
      <c r="L3" s="65"/>
      <c r="M3" s="64"/>
      <c r="N3" s="2"/>
      <c r="O3" s="63"/>
      <c r="P3" s="65"/>
      <c r="Q3" s="64"/>
    </row>
    <row r="4" spans="1:17" s="33" customFormat="1" ht="12" customHeight="1" x14ac:dyDescent="0.2">
      <c r="A4" s="66" t="s">
        <v>13</v>
      </c>
      <c r="B4" s="67"/>
      <c r="C4" s="68">
        <v>2080.5</v>
      </c>
      <c r="D4" s="71">
        <v>2318.6999999999998</v>
      </c>
      <c r="E4" s="71">
        <v>2378.1999999999998</v>
      </c>
      <c r="F4" s="71">
        <f>G4-E4-D4-C4</f>
        <v>2568.8999999999996</v>
      </c>
      <c r="G4" s="70">
        <v>9346.2999999999993</v>
      </c>
      <c r="H4" s="34"/>
      <c r="I4" s="68">
        <v>2302</v>
      </c>
      <c r="J4" s="71">
        <v>2319.1999999999998</v>
      </c>
      <c r="K4" s="71">
        <v>2578.1999999999998</v>
      </c>
      <c r="L4" s="71">
        <f>M4-K4-J4-I4</f>
        <v>2741.8999999999996</v>
      </c>
      <c r="M4" s="70">
        <v>9941.2999999999993</v>
      </c>
      <c r="N4" s="34"/>
      <c r="O4" s="68">
        <v>2290.5</v>
      </c>
      <c r="P4" s="71">
        <f>Q4-O4</f>
        <v>2685.7</v>
      </c>
      <c r="Q4" s="70">
        <v>4976.2</v>
      </c>
    </row>
    <row r="5" spans="1:17" x14ac:dyDescent="0.2">
      <c r="A5" s="32" t="s">
        <v>14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2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  <c r="N5" s="2"/>
      <c r="O5" s="22">
        <f>O4/I4-1</f>
        <v>-4.9956559513466559E-3</v>
      </c>
      <c r="P5" s="47">
        <f>P4/J4-1</f>
        <v>0.15802863056226291</v>
      </c>
      <c r="Q5" s="23">
        <f>Q4/(I4+J4)-1</f>
        <v>7.6819873625898039E-2</v>
      </c>
    </row>
    <row r="6" spans="1:17" ht="5.25" customHeight="1" x14ac:dyDescent="0.2">
      <c r="A6" s="31"/>
      <c r="B6" s="72"/>
      <c r="C6" s="73"/>
      <c r="D6" s="76"/>
      <c r="E6" s="76"/>
      <c r="F6" s="76"/>
      <c r="G6" s="75"/>
      <c r="H6" s="62"/>
      <c r="I6" s="73"/>
      <c r="J6" s="76"/>
      <c r="K6" s="76"/>
      <c r="L6" s="76"/>
      <c r="M6" s="75"/>
      <c r="N6" s="2"/>
      <c r="O6" s="73"/>
      <c r="P6" s="76"/>
      <c r="Q6" s="75"/>
    </row>
    <row r="7" spans="1:17" s="33" customFormat="1" ht="11.25" customHeight="1" x14ac:dyDescent="0.2">
      <c r="A7" s="77" t="s">
        <v>15</v>
      </c>
      <c r="B7" s="67"/>
      <c r="C7" s="78">
        <v>1207</v>
      </c>
      <c r="D7" s="79">
        <v>1277.3000000000002</v>
      </c>
      <c r="E7" s="79">
        <v>1316.1</v>
      </c>
      <c r="F7" s="79">
        <f>G7-E7-D7-C7</f>
        <v>1460.7000000000003</v>
      </c>
      <c r="G7" s="56">
        <v>5261.1</v>
      </c>
      <c r="H7" s="34"/>
      <c r="I7" s="78">
        <v>1328.8</v>
      </c>
      <c r="J7" s="79">
        <v>1324.3</v>
      </c>
      <c r="K7" s="79">
        <v>1401</v>
      </c>
      <c r="L7" s="79">
        <f>M7-K7-J7-I7</f>
        <v>1520.5000000000002</v>
      </c>
      <c r="M7" s="56">
        <v>5574.6</v>
      </c>
      <c r="N7" s="34"/>
      <c r="O7" s="78">
        <v>1317.2</v>
      </c>
      <c r="P7" s="79">
        <f>Q7-O7</f>
        <v>1474.8</v>
      </c>
      <c r="Q7" s="56">
        <f>2798-6</f>
        <v>2792</v>
      </c>
    </row>
    <row r="8" spans="1:17" s="33" customFormat="1" ht="5.25" customHeight="1" x14ac:dyDescent="0.2">
      <c r="A8" s="77"/>
      <c r="B8" s="67"/>
      <c r="C8" s="78"/>
      <c r="D8" s="79"/>
      <c r="E8" s="79"/>
      <c r="F8" s="79"/>
      <c r="G8" s="56"/>
      <c r="H8" s="34"/>
      <c r="I8" s="78"/>
      <c r="J8" s="79"/>
      <c r="K8" s="79"/>
      <c r="L8" s="79"/>
      <c r="M8" s="56"/>
      <c r="N8" s="34"/>
      <c r="O8" s="78"/>
      <c r="P8" s="79"/>
      <c r="Q8" s="56"/>
    </row>
    <row r="9" spans="1:17" x14ac:dyDescent="0.2">
      <c r="A9" s="51" t="s">
        <v>16</v>
      </c>
      <c r="B9" s="67"/>
      <c r="C9" s="68">
        <f>C4-C7</f>
        <v>873.5</v>
      </c>
      <c r="D9" s="71">
        <f>D4-D7</f>
        <v>1041.3999999999996</v>
      </c>
      <c r="E9" s="71">
        <f>E4-E7</f>
        <v>1062.0999999999999</v>
      </c>
      <c r="F9" s="71">
        <f>F4-F7</f>
        <v>1108.1999999999994</v>
      </c>
      <c r="G9" s="70">
        <f>G4-G7</f>
        <v>4085.1999999999989</v>
      </c>
      <c r="H9" s="62"/>
      <c r="I9" s="68">
        <f>I4-I7</f>
        <v>973.2</v>
      </c>
      <c r="J9" s="71">
        <f>J4-J7</f>
        <v>994.89999999999986</v>
      </c>
      <c r="K9" s="71">
        <f>K4-K7</f>
        <v>1177.1999999999998</v>
      </c>
      <c r="L9" s="71">
        <f>L4-L7</f>
        <v>1221.3999999999994</v>
      </c>
      <c r="M9" s="70">
        <f>M4-M7</f>
        <v>4366.6999999999989</v>
      </c>
      <c r="N9" s="2"/>
      <c r="O9" s="68">
        <f>O4-O7</f>
        <v>973.3</v>
      </c>
      <c r="P9" s="71">
        <f>P4-P7</f>
        <v>1210.8999999999999</v>
      </c>
      <c r="Q9" s="70">
        <f>Q4-Q7</f>
        <v>2184.1999999999998</v>
      </c>
    </row>
    <row r="10" spans="1:17" x14ac:dyDescent="0.2">
      <c r="A10" s="32" t="s">
        <v>17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2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  <c r="N10" s="2"/>
      <c r="O10" s="25">
        <f>O9/O4</f>
        <v>0.4249290547915302</v>
      </c>
      <c r="P10" s="48">
        <f>P9/P4</f>
        <v>0.45086941951818893</v>
      </c>
      <c r="Q10" s="26">
        <f>Q9/Q4</f>
        <v>0.43892930348458659</v>
      </c>
    </row>
    <row r="11" spans="1:17" ht="5.25" customHeight="1" x14ac:dyDescent="0.2">
      <c r="A11" s="30"/>
      <c r="B11" s="72"/>
      <c r="C11" s="73"/>
      <c r="D11" s="76"/>
      <c r="E11" s="76"/>
      <c r="F11" s="76"/>
      <c r="G11" s="75"/>
      <c r="H11" s="62"/>
      <c r="I11" s="73"/>
      <c r="J11" s="76"/>
      <c r="K11" s="76"/>
      <c r="L11" s="76"/>
      <c r="M11" s="75"/>
      <c r="N11" s="2"/>
      <c r="O11" s="73"/>
      <c r="P11" s="76"/>
      <c r="Q11" s="75"/>
    </row>
    <row r="12" spans="1:17" s="33" customFormat="1" x14ac:dyDescent="0.2">
      <c r="A12" s="77" t="s">
        <v>18</v>
      </c>
      <c r="B12" s="67"/>
      <c r="C12" s="78">
        <v>666.9</v>
      </c>
      <c r="D12" s="79">
        <v>689.30000000000007</v>
      </c>
      <c r="E12" s="79">
        <v>647.39999999999975</v>
      </c>
      <c r="F12" s="79">
        <f>G12-E12-D12-C12</f>
        <v>700.20000000000039</v>
      </c>
      <c r="G12" s="56">
        <v>2703.8</v>
      </c>
      <c r="H12" s="34"/>
      <c r="I12" s="78">
        <v>744.9</v>
      </c>
      <c r="J12" s="79">
        <v>707.2</v>
      </c>
      <c r="K12" s="79">
        <v>676.2</v>
      </c>
      <c r="L12" s="79">
        <f>M12-K12-J12-I12</f>
        <v>716.20000000000016</v>
      </c>
      <c r="M12" s="56">
        <v>2844.5</v>
      </c>
      <c r="N12" s="34"/>
      <c r="O12" s="78">
        <v>733.2</v>
      </c>
      <c r="P12" s="79">
        <f>Q12-O12</f>
        <v>745.7</v>
      </c>
      <c r="Q12" s="56">
        <f>1472.9+6</f>
        <v>1478.9</v>
      </c>
    </row>
    <row r="13" spans="1:17" ht="5.25" customHeight="1" x14ac:dyDescent="0.2">
      <c r="A13" s="31"/>
      <c r="B13" s="72"/>
      <c r="C13" s="73"/>
      <c r="D13" s="76"/>
      <c r="E13" s="76"/>
      <c r="F13" s="76"/>
      <c r="G13" s="75"/>
      <c r="H13" s="62"/>
      <c r="I13" s="73"/>
      <c r="J13" s="76"/>
      <c r="K13" s="76"/>
      <c r="L13" s="76"/>
      <c r="M13" s="75"/>
      <c r="N13" s="2"/>
      <c r="O13" s="73"/>
      <c r="P13" s="76"/>
      <c r="Q13" s="75"/>
    </row>
    <row r="14" spans="1:17" s="33" customFormat="1" x14ac:dyDescent="0.2">
      <c r="A14" s="66" t="s">
        <v>19</v>
      </c>
      <c r="B14" s="67"/>
      <c r="C14" s="68">
        <f>C9-C12</f>
        <v>206.60000000000002</v>
      </c>
      <c r="D14" s="71">
        <f>D9-D12</f>
        <v>352.09999999999957</v>
      </c>
      <c r="E14" s="71">
        <f>E9-E12</f>
        <v>414.70000000000016</v>
      </c>
      <c r="F14" s="71">
        <f>F9-F12</f>
        <v>407.99999999999898</v>
      </c>
      <c r="G14" s="70">
        <f>G9-G12</f>
        <v>1381.3999999999987</v>
      </c>
      <c r="H14" s="34"/>
      <c r="I14" s="68">
        <f>I9-I12</f>
        <v>228.30000000000007</v>
      </c>
      <c r="J14" s="71">
        <f>J9-J12</f>
        <v>287.69999999999982</v>
      </c>
      <c r="K14" s="71">
        <f>K9-K12</f>
        <v>500.99999999999977</v>
      </c>
      <c r="L14" s="71">
        <f>L9-L12</f>
        <v>505.19999999999925</v>
      </c>
      <c r="M14" s="70">
        <f>M9-M12</f>
        <v>1522.1999999999989</v>
      </c>
      <c r="N14" s="34"/>
      <c r="O14" s="68">
        <f>O9-O12</f>
        <v>240.09999999999991</v>
      </c>
      <c r="P14" s="71">
        <f>P9-P12</f>
        <v>465.19999999999982</v>
      </c>
      <c r="Q14" s="70">
        <f>Q9-Q12</f>
        <v>705.29999999999973</v>
      </c>
    </row>
    <row r="15" spans="1:17" x14ac:dyDescent="0.2">
      <c r="A15" s="32" t="s">
        <v>17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2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  <c r="N15" s="2"/>
      <c r="O15" s="25">
        <f>O14/O4</f>
        <v>0.10482427417594407</v>
      </c>
      <c r="P15" s="48">
        <f>P14/P4</f>
        <v>0.17321368730684733</v>
      </c>
      <c r="Q15" s="26">
        <f>Q14/Q4</f>
        <v>0.14173465696716364</v>
      </c>
    </row>
    <row r="16" spans="1:17" ht="5.25" customHeight="1" x14ac:dyDescent="0.2">
      <c r="A16" s="31"/>
      <c r="B16" s="72"/>
      <c r="C16" s="73"/>
      <c r="D16" s="76"/>
      <c r="E16" s="76"/>
      <c r="F16" s="76"/>
      <c r="G16" s="75"/>
      <c r="H16" s="62"/>
      <c r="I16" s="73"/>
      <c r="J16" s="76"/>
      <c r="K16" s="76"/>
      <c r="L16" s="76"/>
      <c r="M16" s="75"/>
      <c r="N16" s="2"/>
      <c r="O16" s="73"/>
      <c r="P16" s="76"/>
      <c r="Q16" s="75"/>
    </row>
    <row r="17" spans="1:17" s="33" customFormat="1" x14ac:dyDescent="0.2">
      <c r="A17" s="77" t="s">
        <v>20</v>
      </c>
      <c r="B17" s="67"/>
      <c r="C17" s="78">
        <v>52</v>
      </c>
      <c r="D17" s="79">
        <v>50.099999999999994</v>
      </c>
      <c r="E17" s="79">
        <v>50.700000000000017</v>
      </c>
      <c r="F17" s="79">
        <f>G17-E17-D17-C17</f>
        <v>51.299999999999983</v>
      </c>
      <c r="G17" s="56">
        <v>204.1</v>
      </c>
      <c r="H17" s="34"/>
      <c r="I17" s="78">
        <v>55.8</v>
      </c>
      <c r="J17" s="79">
        <v>59.7</v>
      </c>
      <c r="K17" s="79">
        <v>53.7</v>
      </c>
      <c r="L17" s="79">
        <f>M17-K17-J17-I17</f>
        <v>52.800000000000011</v>
      </c>
      <c r="M17" s="56">
        <v>222</v>
      </c>
      <c r="N17" s="34"/>
      <c r="O17" s="78">
        <v>57</v>
      </c>
      <c r="P17" s="79">
        <f>Q17-O17</f>
        <v>55.2</v>
      </c>
      <c r="Q17" s="56">
        <v>112.2</v>
      </c>
    </row>
    <row r="18" spans="1:17" ht="5.25" customHeight="1" x14ac:dyDescent="0.2">
      <c r="A18" s="31"/>
      <c r="B18" s="72"/>
      <c r="C18" s="73"/>
      <c r="D18" s="76"/>
      <c r="E18" s="76"/>
      <c r="F18" s="76"/>
      <c r="G18" s="75"/>
      <c r="H18" s="62"/>
      <c r="I18" s="73"/>
      <c r="J18" s="76"/>
      <c r="K18" s="76"/>
      <c r="L18" s="76"/>
      <c r="M18" s="75"/>
      <c r="N18" s="2"/>
      <c r="O18" s="73"/>
      <c r="P18" s="76"/>
      <c r="Q18" s="75"/>
    </row>
    <row r="19" spans="1:17" s="33" customFormat="1" x14ac:dyDescent="0.2">
      <c r="A19" s="66" t="s">
        <v>21</v>
      </c>
      <c r="B19" s="67"/>
      <c r="C19" s="68">
        <f>C14-C17</f>
        <v>154.60000000000002</v>
      </c>
      <c r="D19" s="71">
        <f>D14-D17</f>
        <v>301.99999999999955</v>
      </c>
      <c r="E19" s="71">
        <f>E14-E17</f>
        <v>364.00000000000011</v>
      </c>
      <c r="F19" s="71">
        <f>F14-F17</f>
        <v>356.69999999999902</v>
      </c>
      <c r="G19" s="70">
        <f>G14-G17</f>
        <v>1177.2999999999988</v>
      </c>
      <c r="H19" s="34"/>
      <c r="I19" s="68">
        <f>I14-I17</f>
        <v>172.50000000000006</v>
      </c>
      <c r="J19" s="71">
        <f>J14-J17</f>
        <v>227.99999999999983</v>
      </c>
      <c r="K19" s="71">
        <f t="shared" ref="K19:L19" si="0">K14-K17</f>
        <v>447.29999999999978</v>
      </c>
      <c r="L19" s="71">
        <f t="shared" si="0"/>
        <v>452.39999999999924</v>
      </c>
      <c r="M19" s="70">
        <f>M14-M17</f>
        <v>1300.1999999999989</v>
      </c>
      <c r="N19" s="34"/>
      <c r="O19" s="68">
        <f>O14-O17</f>
        <v>183.09999999999991</v>
      </c>
      <c r="P19" s="71">
        <f>P14-P17</f>
        <v>409.99999999999983</v>
      </c>
      <c r="Q19" s="70">
        <f>Q14-Q17</f>
        <v>593.09999999999968</v>
      </c>
    </row>
    <row r="20" spans="1:17" ht="5.25" customHeight="1" x14ac:dyDescent="0.2">
      <c r="A20" s="31"/>
      <c r="B20" s="72"/>
      <c r="C20" s="73"/>
      <c r="D20" s="76"/>
      <c r="E20" s="76"/>
      <c r="F20" s="76"/>
      <c r="G20" s="75"/>
      <c r="H20" s="2"/>
      <c r="I20" s="73"/>
      <c r="J20" s="76"/>
      <c r="K20" s="76"/>
      <c r="L20" s="76"/>
      <c r="M20" s="75"/>
      <c r="N20" s="2"/>
      <c r="O20" s="73"/>
      <c r="P20" s="76"/>
      <c r="Q20" s="75"/>
    </row>
    <row r="21" spans="1:17" s="33" customFormat="1" x14ac:dyDescent="0.2">
      <c r="A21" s="77" t="s">
        <v>22</v>
      </c>
      <c r="B21" s="67"/>
      <c r="C21" s="78">
        <f>2.6-10</f>
        <v>-7.4</v>
      </c>
      <c r="D21" s="79">
        <v>-17</v>
      </c>
      <c r="E21" s="79">
        <v>-26.5</v>
      </c>
      <c r="F21" s="79">
        <f>G21-E21-D21-C21</f>
        <v>4.0000000000000018</v>
      </c>
      <c r="G21" s="56">
        <v>-46.9</v>
      </c>
      <c r="H21" s="34"/>
      <c r="I21" s="78">
        <v>-206.4</v>
      </c>
      <c r="J21" s="79">
        <v>30.8</v>
      </c>
      <c r="K21" s="79">
        <v>-44.6</v>
      </c>
      <c r="L21" s="79">
        <f>M21-K21-J21-I21</f>
        <v>-9.6000000000000227</v>
      </c>
      <c r="M21" s="56">
        <v>-229.8</v>
      </c>
      <c r="N21" s="34"/>
      <c r="O21" s="78">
        <v>-22.2</v>
      </c>
      <c r="P21" s="79">
        <f>Q21-O21</f>
        <v>-14.599999999999998</v>
      </c>
      <c r="Q21" s="56">
        <v>-36.799999999999997</v>
      </c>
    </row>
    <row r="22" spans="1:17" ht="5.25" customHeight="1" x14ac:dyDescent="0.2">
      <c r="A22" s="31"/>
      <c r="B22" s="72"/>
      <c r="C22" s="73"/>
      <c r="D22" s="76"/>
      <c r="E22" s="76"/>
      <c r="F22" s="76"/>
      <c r="G22" s="75"/>
      <c r="H22" s="2"/>
      <c r="I22" s="73"/>
      <c r="J22" s="76"/>
      <c r="K22" s="76"/>
      <c r="L22" s="76"/>
      <c r="M22" s="75"/>
      <c r="N22" s="2"/>
      <c r="O22" s="73"/>
      <c r="P22" s="76"/>
      <c r="Q22" s="75"/>
    </row>
    <row r="23" spans="1:17" s="33" customFormat="1" x14ac:dyDescent="0.2">
      <c r="A23" s="66" t="s">
        <v>23</v>
      </c>
      <c r="B23" s="67"/>
      <c r="C23" s="68">
        <f>C19+C21</f>
        <v>147.20000000000002</v>
      </c>
      <c r="D23" s="71">
        <f>D19+D21</f>
        <v>284.99999999999955</v>
      </c>
      <c r="E23" s="71">
        <f>E19+E21</f>
        <v>337.50000000000011</v>
      </c>
      <c r="F23" s="71">
        <f>F19+F21</f>
        <v>360.69999999999902</v>
      </c>
      <c r="G23" s="70">
        <f>G19+G21</f>
        <v>1130.3999999999987</v>
      </c>
      <c r="H23" s="34"/>
      <c r="I23" s="68">
        <f>I19+I21</f>
        <v>-33.899999999999949</v>
      </c>
      <c r="J23" s="71">
        <f>J19+J21</f>
        <v>258.79999999999984</v>
      </c>
      <c r="K23" s="71">
        <f>K19+K21</f>
        <v>402.69999999999976</v>
      </c>
      <c r="L23" s="71">
        <f>L19+L21</f>
        <v>442.79999999999922</v>
      </c>
      <c r="M23" s="70">
        <f>M19+M21</f>
        <v>1070.399999999999</v>
      </c>
      <c r="N23" s="34"/>
      <c r="O23" s="68">
        <f>O19+O21</f>
        <v>160.89999999999992</v>
      </c>
      <c r="P23" s="71">
        <f>P19+P21</f>
        <v>395.39999999999981</v>
      </c>
      <c r="Q23" s="70">
        <f>Q19+Q21</f>
        <v>556.29999999999973</v>
      </c>
    </row>
    <row r="24" spans="1:17" x14ac:dyDescent="0.2">
      <c r="A24" s="32" t="s">
        <v>17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  <c r="N24" s="2"/>
      <c r="O24" s="25">
        <f>O23/O4</f>
        <v>7.0246671032525618E-2</v>
      </c>
      <c r="P24" s="48">
        <f>P23/P4</f>
        <v>0.14722418736269868</v>
      </c>
      <c r="Q24" s="26">
        <f>Q23/Q4</f>
        <v>0.11179213054137691</v>
      </c>
    </row>
    <row r="25" spans="1:17" ht="5.25" customHeight="1" x14ac:dyDescent="0.2">
      <c r="A25" s="31"/>
      <c r="B25" s="72"/>
      <c r="C25" s="73"/>
      <c r="D25" s="76"/>
      <c r="E25" s="76"/>
      <c r="F25" s="76"/>
      <c r="G25" s="75"/>
      <c r="H25" s="2"/>
      <c r="I25" s="73"/>
      <c r="J25" s="76"/>
      <c r="K25" s="76"/>
      <c r="L25" s="76"/>
      <c r="M25" s="75"/>
      <c r="N25" s="2"/>
      <c r="O25" s="73"/>
      <c r="P25" s="76"/>
      <c r="Q25" s="75"/>
    </row>
    <row r="26" spans="1:17" s="33" customFormat="1" x14ac:dyDescent="0.2">
      <c r="A26" s="77" t="s">
        <v>24</v>
      </c>
      <c r="B26" s="67"/>
      <c r="C26" s="78">
        <v>35.299999999999997</v>
      </c>
      <c r="D26" s="79">
        <v>68.400000000000006</v>
      </c>
      <c r="E26" s="79">
        <v>81.100000000000009</v>
      </c>
      <c r="F26" s="79">
        <f>G26-E26-D26-C26</f>
        <v>87.3</v>
      </c>
      <c r="G26" s="56">
        <f>271.3+0.8</f>
        <v>272.10000000000002</v>
      </c>
      <c r="H26" s="34"/>
      <c r="I26" s="78">
        <v>-8.5</v>
      </c>
      <c r="J26" s="79">
        <v>64.7</v>
      </c>
      <c r="K26" s="79">
        <v>100.7</v>
      </c>
      <c r="L26" s="79">
        <f>M26-K26-J26-I26</f>
        <v>115.3</v>
      </c>
      <c r="M26" s="150">
        <v>272.2</v>
      </c>
      <c r="N26" s="34"/>
      <c r="O26" s="78">
        <v>40.200000000000003</v>
      </c>
      <c r="P26" s="79">
        <f>Q26-O26</f>
        <v>98.8</v>
      </c>
      <c r="Q26" s="56">
        <v>139</v>
      </c>
    </row>
    <row r="27" spans="1:17" x14ac:dyDescent="0.2">
      <c r="A27" s="32" t="s">
        <v>17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  <c r="N27" s="2"/>
      <c r="O27" s="25">
        <f>O26/O23</f>
        <v>0.24984462399005608</v>
      </c>
      <c r="P27" s="48">
        <f>P26/P23</f>
        <v>0.24987354577642903</v>
      </c>
      <c r="Q27" s="26">
        <f>Q26/Q23</f>
        <v>0.24986518065791852</v>
      </c>
    </row>
    <row r="28" spans="1:17" ht="5.25" customHeight="1" x14ac:dyDescent="0.2">
      <c r="A28" s="31"/>
      <c r="B28" s="72"/>
      <c r="C28" s="73"/>
      <c r="D28" s="76"/>
      <c r="E28" s="76"/>
      <c r="F28" s="76"/>
      <c r="G28" s="74"/>
      <c r="H28" s="2"/>
      <c r="I28" s="73"/>
      <c r="J28" s="76"/>
      <c r="K28" s="76"/>
      <c r="L28" s="76"/>
      <c r="M28" s="75"/>
      <c r="N28" s="2"/>
      <c r="O28" s="73"/>
      <c r="P28" s="76"/>
      <c r="Q28" s="75"/>
    </row>
    <row r="29" spans="1:17" s="33" customFormat="1" x14ac:dyDescent="0.2">
      <c r="A29" s="66" t="s">
        <v>25</v>
      </c>
      <c r="B29" s="67"/>
      <c r="C29" s="68">
        <f>C23-C26</f>
        <v>111.90000000000002</v>
      </c>
      <c r="D29" s="71">
        <f>D23-D26</f>
        <v>216.59999999999954</v>
      </c>
      <c r="E29" s="71">
        <f>E23-E26</f>
        <v>256.40000000000009</v>
      </c>
      <c r="F29" s="71">
        <f>F23-F26</f>
        <v>273.39999999999901</v>
      </c>
      <c r="G29" s="70">
        <f>G23-G26</f>
        <v>858.2999999999987</v>
      </c>
      <c r="H29" s="34"/>
      <c r="I29" s="68">
        <f>I23-I26</f>
        <v>-25.399999999999949</v>
      </c>
      <c r="J29" s="71">
        <f>J23-J26</f>
        <v>194.09999999999985</v>
      </c>
      <c r="K29" s="71">
        <f>K23-K26</f>
        <v>301.99999999999977</v>
      </c>
      <c r="L29" s="71">
        <f>L23-L26</f>
        <v>327.4999999999992</v>
      </c>
      <c r="M29" s="70">
        <f>M23-M26</f>
        <v>798.19999999999891</v>
      </c>
      <c r="N29" s="34"/>
      <c r="O29" s="68">
        <f>O23-O26</f>
        <v>120.69999999999992</v>
      </c>
      <c r="P29" s="71">
        <f>P23-P26</f>
        <v>296.5999999999998</v>
      </c>
      <c r="Q29" s="70">
        <f>Q23-Q26</f>
        <v>417.29999999999973</v>
      </c>
    </row>
    <row r="30" spans="1:17" x14ac:dyDescent="0.2">
      <c r="A30" s="32" t="s">
        <v>17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  <c r="N30" s="2"/>
      <c r="O30" s="25">
        <f>O29/O4</f>
        <v>5.269591792185109E-2</v>
      </c>
      <c r="P30" s="48">
        <f>P29/P4</f>
        <v>0.11043675764232781</v>
      </c>
      <c r="Q30" s="26">
        <f>Q29/Q4</f>
        <v>8.3859169647522158E-2</v>
      </c>
    </row>
    <row r="31" spans="1:17" ht="5.25" customHeight="1" x14ac:dyDescent="0.2">
      <c r="A31" s="31"/>
      <c r="B31" s="72"/>
      <c r="C31" s="73"/>
      <c r="D31" s="76"/>
      <c r="E31" s="76"/>
      <c r="F31" s="76"/>
      <c r="G31" s="75"/>
      <c r="H31" s="2"/>
      <c r="I31" s="73"/>
      <c r="J31" s="76"/>
      <c r="K31" s="76"/>
      <c r="L31" s="76"/>
      <c r="M31" s="75"/>
      <c r="N31" s="2"/>
      <c r="O31" s="73"/>
      <c r="P31" s="76"/>
      <c r="Q31" s="75"/>
    </row>
    <row r="32" spans="1:17" s="33" customFormat="1" x14ac:dyDescent="0.2">
      <c r="A32" s="66" t="s">
        <v>26</v>
      </c>
      <c r="B32" s="67"/>
      <c r="C32" s="68">
        <v>-4</v>
      </c>
      <c r="D32" s="71">
        <v>-10.199999999999999</v>
      </c>
      <c r="E32" s="71">
        <v>-13.400000000000002</v>
      </c>
      <c r="F32" s="71">
        <f>G32-E32-D32-C32</f>
        <v>-8.2999999999999972</v>
      </c>
      <c r="G32" s="70">
        <v>-35.9</v>
      </c>
      <c r="H32" s="34"/>
      <c r="I32" s="68">
        <v>-3.6</v>
      </c>
      <c r="J32" s="71">
        <v>7.8</v>
      </c>
      <c r="K32" s="71">
        <v>-13.6</v>
      </c>
      <c r="L32" s="71">
        <f>M32-K32-J32-I32</f>
        <v>-13.700000000000001</v>
      </c>
      <c r="M32" s="70">
        <v>-23.1</v>
      </c>
      <c r="N32" s="147"/>
      <c r="O32" s="68">
        <v>-8.6</v>
      </c>
      <c r="P32" s="71">
        <f>Q32-O32</f>
        <v>-14.299999999999999</v>
      </c>
      <c r="Q32" s="70">
        <v>-22.9</v>
      </c>
    </row>
    <row r="33" spans="1:17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  <c r="N33" s="2"/>
      <c r="O33" s="28"/>
      <c r="P33" s="49"/>
      <c r="Q33" s="29"/>
    </row>
    <row r="34" spans="1:17" ht="15" customHeight="1" thickBot="1" x14ac:dyDescent="0.25">
      <c r="A34" s="52" t="s">
        <v>27</v>
      </c>
      <c r="B34" s="67"/>
      <c r="C34" s="80">
        <v>0.73</v>
      </c>
      <c r="D34" s="81">
        <v>1.4</v>
      </c>
      <c r="E34" s="81">
        <v>1.6400000000000001</v>
      </c>
      <c r="F34" s="81">
        <f>G34-E34-D34-C34</f>
        <v>1.7956214755730682</v>
      </c>
      <c r="G34" s="82">
        <f>(G29+G32)/147.764271</f>
        <v>5.5656214755730682</v>
      </c>
      <c r="H34" s="2"/>
      <c r="I34" s="80">
        <v>-0.2</v>
      </c>
      <c r="J34" s="81">
        <v>1.37</v>
      </c>
      <c r="K34" s="81">
        <v>1.96</v>
      </c>
      <c r="L34" s="81">
        <f>M34-K34-J34-I34</f>
        <v>2.12</v>
      </c>
      <c r="M34" s="82">
        <v>5.25</v>
      </c>
      <c r="N34" s="2"/>
      <c r="O34" s="80">
        <v>0.76</v>
      </c>
      <c r="P34" s="81">
        <f>Q34-O34</f>
        <v>1.91</v>
      </c>
      <c r="Q34" s="82">
        <v>2.67</v>
      </c>
    </row>
    <row r="35" spans="1:17" ht="5.25" customHeight="1" x14ac:dyDescent="0.2">
      <c r="A35" s="2"/>
      <c r="B35" s="61"/>
      <c r="C35" s="2"/>
      <c r="D35" s="2"/>
      <c r="E35" s="2"/>
      <c r="F35" s="2"/>
      <c r="G35" s="2"/>
      <c r="H35" s="2"/>
      <c r="I35" s="84"/>
      <c r="J35" s="84"/>
      <c r="K35" s="84"/>
      <c r="L35" s="84"/>
      <c r="M35" s="2"/>
      <c r="N35" s="2"/>
      <c r="O35" s="84"/>
      <c r="P35" s="84"/>
      <c r="Q35" s="84"/>
    </row>
    <row r="36" spans="1:17" s="33" customFormat="1" x14ac:dyDescent="0.2">
      <c r="A36" s="34" t="s">
        <v>28</v>
      </c>
      <c r="B36" s="34"/>
      <c r="C36" s="85">
        <v>280.89999999999998</v>
      </c>
      <c r="D36" s="85">
        <v>427.7</v>
      </c>
      <c r="E36" s="85">
        <v>495.9</v>
      </c>
      <c r="F36" s="85">
        <v>470.99999999999852</v>
      </c>
      <c r="G36" s="85">
        <v>1675.4999999999986</v>
      </c>
      <c r="H36" s="34"/>
      <c r="I36" s="86">
        <v>309</v>
      </c>
      <c r="J36" s="86">
        <v>371.3</v>
      </c>
      <c r="K36" s="86">
        <v>586.20000000000005</v>
      </c>
      <c r="L36" s="86">
        <f>M36-K36-J36-I36</f>
        <v>593.5</v>
      </c>
      <c r="M36" s="85">
        <v>1860</v>
      </c>
      <c r="N36" s="87"/>
      <c r="O36" s="86">
        <v>321.5</v>
      </c>
      <c r="P36" s="86">
        <f>Q36-O36</f>
        <v>547.20000000000005</v>
      </c>
      <c r="Q36" s="86">
        <v>868.7</v>
      </c>
    </row>
    <row r="37" spans="1:17" s="33" customFormat="1" x14ac:dyDescent="0.2">
      <c r="A37" s="34" t="s">
        <v>29</v>
      </c>
      <c r="B37" s="34"/>
      <c r="C37" s="85">
        <v>344.90000000000003</v>
      </c>
      <c r="D37" s="85">
        <v>496.3</v>
      </c>
      <c r="E37" s="85">
        <v>563.6</v>
      </c>
      <c r="F37" s="85">
        <v>544.29999999999859</v>
      </c>
      <c r="G37" s="85">
        <v>1949.0999999999988</v>
      </c>
      <c r="H37" s="34"/>
      <c r="I37" s="86">
        <v>385.7</v>
      </c>
      <c r="J37" s="86">
        <v>450.2</v>
      </c>
      <c r="K37" s="86">
        <v>659.7</v>
      </c>
      <c r="L37" s="86">
        <f>M37-K37-J37-I37</f>
        <v>671.3</v>
      </c>
      <c r="M37" s="85">
        <v>2166.9</v>
      </c>
      <c r="N37" s="87"/>
      <c r="O37" s="86">
        <v>395.3</v>
      </c>
      <c r="P37" s="86">
        <f>Q37-O37</f>
        <v>619.90000000000009</v>
      </c>
      <c r="Q37" s="86">
        <v>1015.2</v>
      </c>
    </row>
    <row r="38" spans="1:17" ht="5.25" customHeight="1" thickBot="1" x14ac:dyDescent="0.25">
      <c r="A38" s="2"/>
      <c r="B38" s="61"/>
      <c r="C38" s="2"/>
      <c r="D38" s="2"/>
      <c r="E38" s="2"/>
      <c r="F38" s="2"/>
      <c r="G38" s="2"/>
      <c r="H38" s="2"/>
      <c r="I38" s="84"/>
      <c r="J38" s="84"/>
      <c r="K38" s="84"/>
      <c r="L38" s="84"/>
      <c r="M38" s="2"/>
      <c r="N38" s="2"/>
      <c r="O38" s="84"/>
      <c r="P38" s="84"/>
      <c r="Q38" s="84"/>
    </row>
    <row r="39" spans="1:17" ht="16.2" thickBot="1" x14ac:dyDescent="0.35">
      <c r="A39" s="5" t="s">
        <v>30</v>
      </c>
      <c r="B39" s="61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  <c r="N39" s="2"/>
      <c r="O39" s="8">
        <v>2021</v>
      </c>
      <c r="P39" s="9"/>
      <c r="Q39" s="10"/>
    </row>
    <row r="40" spans="1:17" ht="10.8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  <c r="N40" s="2"/>
      <c r="O40" s="18" t="s">
        <v>11</v>
      </c>
      <c r="P40" s="19" t="s">
        <v>12</v>
      </c>
      <c r="Q40" s="20" t="s">
        <v>6</v>
      </c>
    </row>
    <row r="41" spans="1:17" ht="5.25" customHeight="1" x14ac:dyDescent="0.2">
      <c r="A41" s="30"/>
      <c r="B41" s="88"/>
      <c r="C41" s="89"/>
      <c r="D41" s="91"/>
      <c r="E41" s="91"/>
      <c r="F41" s="91"/>
      <c r="G41" s="90"/>
      <c r="H41" s="2"/>
      <c r="I41" s="92"/>
      <c r="J41" s="84"/>
      <c r="K41" s="84"/>
      <c r="L41" s="84"/>
      <c r="M41" s="74"/>
      <c r="N41" s="2"/>
      <c r="O41" s="92"/>
      <c r="P41" s="84"/>
      <c r="Q41" s="74"/>
    </row>
    <row r="42" spans="1:17" x14ac:dyDescent="0.2">
      <c r="A42" s="31" t="s">
        <v>31</v>
      </c>
      <c r="B42" s="88"/>
      <c r="C42" s="93"/>
      <c r="D42" s="96"/>
      <c r="E42" s="96"/>
      <c r="F42" s="96"/>
      <c r="G42" s="94"/>
      <c r="H42" s="95"/>
      <c r="I42" s="93"/>
      <c r="J42" s="96"/>
      <c r="K42" s="96"/>
      <c r="L42" s="96"/>
      <c r="M42" s="94"/>
      <c r="N42" s="2"/>
      <c r="O42" s="93"/>
      <c r="P42" s="96"/>
      <c r="Q42" s="94"/>
    </row>
    <row r="43" spans="1:17" ht="11.25" customHeight="1" x14ac:dyDescent="0.2">
      <c r="A43" s="30" t="s">
        <v>32</v>
      </c>
      <c r="B43" s="88"/>
      <c r="C43" s="97">
        <v>152</v>
      </c>
      <c r="D43" s="100">
        <v>153</v>
      </c>
      <c r="E43" s="100">
        <v>153</v>
      </c>
      <c r="F43" s="100">
        <f>G43-E43-D43-C43</f>
        <v>160</v>
      </c>
      <c r="G43" s="98">
        <v>618</v>
      </c>
      <c r="H43" s="59"/>
      <c r="I43" s="97">
        <v>192</v>
      </c>
      <c r="J43" s="100">
        <v>187</v>
      </c>
      <c r="K43" s="100">
        <v>176</v>
      </c>
      <c r="L43" s="100">
        <f>M43-K43-J43-I43</f>
        <v>223</v>
      </c>
      <c r="M43" s="98">
        <v>778</v>
      </c>
      <c r="N43" s="2"/>
      <c r="O43" s="97">
        <f>165+38</f>
        <v>203</v>
      </c>
      <c r="P43" s="100">
        <f>Q43-O43</f>
        <v>215</v>
      </c>
      <c r="Q43" s="98">
        <v>418</v>
      </c>
    </row>
    <row r="44" spans="1:17" ht="11.25" customHeight="1" x14ac:dyDescent="0.2">
      <c r="A44" s="30" t="s">
        <v>33</v>
      </c>
      <c r="B44" s="88"/>
      <c r="C44" s="97">
        <v>391</v>
      </c>
      <c r="D44" s="100">
        <v>370</v>
      </c>
      <c r="E44" s="100">
        <v>449</v>
      </c>
      <c r="F44" s="100">
        <f t="shared" ref="F44:F50" si="1">G44-E44-D44-C44</f>
        <v>498</v>
      </c>
      <c r="G44" s="98">
        <v>1708</v>
      </c>
      <c r="H44" s="2"/>
      <c r="I44" s="97">
        <v>423</v>
      </c>
      <c r="J44" s="100">
        <v>411</v>
      </c>
      <c r="K44" s="100">
        <v>481</v>
      </c>
      <c r="L44" s="100">
        <f>M44-K44-J44-I44</f>
        <v>608</v>
      </c>
      <c r="M44" s="98">
        <f>2701-M43</f>
        <v>1923</v>
      </c>
      <c r="N44" s="2"/>
      <c r="O44" s="97">
        <f>664-38</f>
        <v>626</v>
      </c>
      <c r="P44" s="100">
        <f t="shared" ref="P44:P50" si="2">Q44-O44</f>
        <v>596</v>
      </c>
      <c r="Q44" s="98">
        <f>1232-10</f>
        <v>1222</v>
      </c>
    </row>
    <row r="45" spans="1:17" ht="11.25" customHeight="1" x14ac:dyDescent="0.2">
      <c r="A45" s="30" t="s">
        <v>34</v>
      </c>
      <c r="B45" s="88"/>
      <c r="C45" s="97">
        <v>353</v>
      </c>
      <c r="D45" s="100">
        <v>435</v>
      </c>
      <c r="E45" s="100">
        <v>502</v>
      </c>
      <c r="F45" s="100">
        <f t="shared" si="1"/>
        <v>428</v>
      </c>
      <c r="G45" s="98">
        <v>1718</v>
      </c>
      <c r="H45" s="2"/>
      <c r="I45" s="97">
        <v>386</v>
      </c>
      <c r="J45" s="100">
        <v>312</v>
      </c>
      <c r="K45" s="100">
        <v>485</v>
      </c>
      <c r="L45" s="100">
        <f>M45-K45-J45-I45</f>
        <v>407</v>
      </c>
      <c r="M45" s="98">
        <v>1590</v>
      </c>
      <c r="N45" s="2"/>
      <c r="O45" s="97">
        <v>358</v>
      </c>
      <c r="P45" s="100">
        <f t="shared" si="2"/>
        <v>412</v>
      </c>
      <c r="Q45" s="98">
        <f>780-10</f>
        <v>770</v>
      </c>
    </row>
    <row r="46" spans="1:17" ht="11.25" customHeight="1" x14ac:dyDescent="0.2">
      <c r="A46" s="30" t="s">
        <v>35</v>
      </c>
      <c r="B46" s="88"/>
      <c r="C46" s="97">
        <v>146</v>
      </c>
      <c r="D46" s="100">
        <v>130</v>
      </c>
      <c r="E46" s="100">
        <v>134</v>
      </c>
      <c r="F46" s="100">
        <f t="shared" si="1"/>
        <v>179</v>
      </c>
      <c r="G46" s="98">
        <v>589</v>
      </c>
      <c r="H46" s="2"/>
      <c r="I46" s="97">
        <v>167</v>
      </c>
      <c r="J46" s="100">
        <v>145</v>
      </c>
      <c r="K46" s="100">
        <v>145</v>
      </c>
      <c r="L46" s="100">
        <f>M46-K46-J46-I46</f>
        <v>188</v>
      </c>
      <c r="M46" s="98">
        <v>645</v>
      </c>
      <c r="N46" s="2"/>
      <c r="O46" s="97">
        <v>177</v>
      </c>
      <c r="P46" s="100">
        <f t="shared" si="2"/>
        <v>156</v>
      </c>
      <c r="Q46" s="98">
        <v>333</v>
      </c>
    </row>
    <row r="47" spans="1:17" x14ac:dyDescent="0.2">
      <c r="A47" s="51" t="s">
        <v>36</v>
      </c>
      <c r="B47" s="88"/>
      <c r="C47" s="102">
        <f>SUM(C43:C46)</f>
        <v>1042</v>
      </c>
      <c r="D47" s="105">
        <f>SUM(D43:D46)</f>
        <v>1088</v>
      </c>
      <c r="E47" s="105">
        <f>SUM(E43:E46)</f>
        <v>1238</v>
      </c>
      <c r="F47" s="105">
        <f>SUM(F43:F46)</f>
        <v>1265</v>
      </c>
      <c r="G47" s="104">
        <f>SUM(G43:G46)</f>
        <v>4633</v>
      </c>
      <c r="H47" s="2"/>
      <c r="I47" s="102">
        <f>SUM(I43:I46)</f>
        <v>1168</v>
      </c>
      <c r="J47" s="105">
        <f>SUM(J43:J46)</f>
        <v>1055</v>
      </c>
      <c r="K47" s="105">
        <f>SUM(K43:K46)</f>
        <v>1287</v>
      </c>
      <c r="L47" s="105">
        <f>SUM(L43:L46)</f>
        <v>1426</v>
      </c>
      <c r="M47" s="104">
        <f>SUM(M43:M46)</f>
        <v>4936</v>
      </c>
      <c r="N47" s="2"/>
      <c r="O47" s="102">
        <f>SUM(O43:O46)</f>
        <v>1364</v>
      </c>
      <c r="P47" s="105">
        <f>SUM(P43:P46)</f>
        <v>1379</v>
      </c>
      <c r="Q47" s="104">
        <f>SUM(Q43:Q46)</f>
        <v>2743</v>
      </c>
    </row>
    <row r="48" spans="1:17" x14ac:dyDescent="0.2">
      <c r="A48" s="30" t="s">
        <v>16</v>
      </c>
      <c r="B48" s="88"/>
      <c r="C48" s="97">
        <v>417</v>
      </c>
      <c r="D48" s="100">
        <v>471</v>
      </c>
      <c r="E48" s="100">
        <v>534</v>
      </c>
      <c r="F48" s="100">
        <f t="shared" si="1"/>
        <v>506</v>
      </c>
      <c r="G48" s="98">
        <f>1943-15</f>
        <v>1928</v>
      </c>
      <c r="H48" s="2"/>
      <c r="I48" s="97">
        <v>462</v>
      </c>
      <c r="J48" s="100">
        <v>408</v>
      </c>
      <c r="K48" s="100">
        <v>574</v>
      </c>
      <c r="L48" s="100">
        <f>M48-K48-J48-I48</f>
        <v>598</v>
      </c>
      <c r="M48" s="98">
        <v>2042</v>
      </c>
      <c r="N48" s="2"/>
      <c r="O48" s="97">
        <v>573</v>
      </c>
      <c r="P48" s="100">
        <f t="shared" si="2"/>
        <v>603</v>
      </c>
      <c r="Q48" s="98">
        <v>1176</v>
      </c>
    </row>
    <row r="49" spans="1:17" s="38" customFormat="1" x14ac:dyDescent="0.2">
      <c r="A49" s="32" t="s">
        <v>37</v>
      </c>
      <c r="B49" s="35"/>
      <c r="C49" s="151">
        <f>C48/C47</f>
        <v>0.40019193857965452</v>
      </c>
      <c r="D49" s="152">
        <f>D48/D47</f>
        <v>0.4329044117647059</v>
      </c>
      <c r="E49" s="152">
        <f>E48/E47</f>
        <v>0.43134087237479807</v>
      </c>
      <c r="F49" s="152">
        <f>F48/F47</f>
        <v>0.4</v>
      </c>
      <c r="G49" s="57">
        <f>G48/G47</f>
        <v>0.4161450464062163</v>
      </c>
      <c r="H49" s="39"/>
      <c r="I49" s="151">
        <f>I48/I47</f>
        <v>0.39554794520547948</v>
      </c>
      <c r="J49" s="152">
        <f>J48/J47</f>
        <v>0.38672985781990521</v>
      </c>
      <c r="K49" s="152">
        <f>K48/K47</f>
        <v>0.44599844599844601</v>
      </c>
      <c r="L49" s="152">
        <f>L48/L47</f>
        <v>0.41935483870967744</v>
      </c>
      <c r="M49" s="57">
        <f>M48/M47</f>
        <v>0.41369529983792547</v>
      </c>
      <c r="N49" s="39"/>
      <c r="O49" s="151">
        <f>O48/O47</f>
        <v>0.42008797653958946</v>
      </c>
      <c r="P49" s="152">
        <f>P48/P47</f>
        <v>0.43727338651196518</v>
      </c>
      <c r="Q49" s="57">
        <f>Q48/Q47</f>
        <v>0.42872767043383159</v>
      </c>
    </row>
    <row r="50" spans="1:17" x14ac:dyDescent="0.2">
      <c r="A50" s="30" t="s">
        <v>18</v>
      </c>
      <c r="B50" s="106"/>
      <c r="C50" s="97">
        <f>19+259</f>
        <v>278</v>
      </c>
      <c r="D50" s="100">
        <v>288</v>
      </c>
      <c r="E50" s="100">
        <v>264</v>
      </c>
      <c r="F50" s="100">
        <f t="shared" si="1"/>
        <v>290</v>
      </c>
      <c r="G50" s="98">
        <f>1163-28-15</f>
        <v>1120</v>
      </c>
      <c r="H50" s="2"/>
      <c r="I50" s="97">
        <v>311</v>
      </c>
      <c r="J50" s="100">
        <v>290</v>
      </c>
      <c r="K50" s="100">
        <v>258</v>
      </c>
      <c r="L50" s="100">
        <f>M50-K50-J50-I50</f>
        <v>302</v>
      </c>
      <c r="M50" s="98">
        <v>1161</v>
      </c>
      <c r="N50" s="2"/>
      <c r="O50" s="97">
        <v>317</v>
      </c>
      <c r="P50" s="100">
        <f t="shared" si="2"/>
        <v>325</v>
      </c>
      <c r="Q50" s="98">
        <f>585+57</f>
        <v>642</v>
      </c>
    </row>
    <row r="51" spans="1:17" x14ac:dyDescent="0.2">
      <c r="A51" s="51" t="s">
        <v>19</v>
      </c>
      <c r="B51" s="88"/>
      <c r="C51" s="102">
        <f>C48-C50</f>
        <v>139</v>
      </c>
      <c r="D51" s="105">
        <f>D48-D50</f>
        <v>183</v>
      </c>
      <c r="E51" s="105">
        <f>E48-E50</f>
        <v>270</v>
      </c>
      <c r="F51" s="105">
        <f>F48-F50</f>
        <v>216</v>
      </c>
      <c r="G51" s="104">
        <f>G48-G50</f>
        <v>808</v>
      </c>
      <c r="H51" s="2"/>
      <c r="I51" s="102">
        <f>I48-I50</f>
        <v>151</v>
      </c>
      <c r="J51" s="105">
        <f>J48-J50</f>
        <v>118</v>
      </c>
      <c r="K51" s="105">
        <f>K48-K50</f>
        <v>316</v>
      </c>
      <c r="L51" s="105">
        <f>L48-L50</f>
        <v>296</v>
      </c>
      <c r="M51" s="104">
        <f>M48-M50</f>
        <v>881</v>
      </c>
      <c r="N51" s="2"/>
      <c r="O51" s="102">
        <f>O48-O50</f>
        <v>256</v>
      </c>
      <c r="P51" s="105">
        <f>P48-P50</f>
        <v>278</v>
      </c>
      <c r="Q51" s="104">
        <f>Q48-Q50</f>
        <v>534</v>
      </c>
    </row>
    <row r="52" spans="1:17" s="38" customFormat="1" x14ac:dyDescent="0.2">
      <c r="A52" s="32" t="s">
        <v>37</v>
      </c>
      <c r="C52" s="151">
        <f t="shared" ref="C52" si="3">C51/C47</f>
        <v>0.13339731285988485</v>
      </c>
      <c r="D52" s="152">
        <f>D51/D47</f>
        <v>0.16819852941176472</v>
      </c>
      <c r="E52" s="152">
        <f>E51/E47</f>
        <v>0.21809369951534732</v>
      </c>
      <c r="F52" s="152">
        <f>F51/F47</f>
        <v>0.1707509881422925</v>
      </c>
      <c r="G52" s="57">
        <f>G51/G47</f>
        <v>0.17440103604575868</v>
      </c>
      <c r="H52" s="39"/>
      <c r="I52" s="151">
        <f t="shared" ref="I52:M52" si="4">I51/I47</f>
        <v>0.12928082191780821</v>
      </c>
      <c r="J52" s="152">
        <f t="shared" si="4"/>
        <v>0.11184834123222749</v>
      </c>
      <c r="K52" s="152">
        <f t="shared" si="4"/>
        <v>0.24553224553224554</v>
      </c>
      <c r="L52" s="152">
        <f t="shared" si="4"/>
        <v>0.20757363253856942</v>
      </c>
      <c r="M52" s="57">
        <f t="shared" si="4"/>
        <v>0.17848460291734197</v>
      </c>
      <c r="O52" s="151">
        <f t="shared" ref="O52:P52" si="5">O51/O47</f>
        <v>0.18768328445747801</v>
      </c>
      <c r="P52" s="152">
        <f t="shared" si="5"/>
        <v>0.20159535895576505</v>
      </c>
      <c r="Q52" s="57">
        <f t="shared" ref="Q52" si="6">Q51/Q47</f>
        <v>0.19467736055413781</v>
      </c>
    </row>
    <row r="53" spans="1:17" x14ac:dyDescent="0.2">
      <c r="A53" s="30" t="s">
        <v>20</v>
      </c>
      <c r="B53" s="2"/>
      <c r="C53" s="97">
        <v>23</v>
      </c>
      <c r="D53" s="100">
        <v>23</v>
      </c>
      <c r="E53" s="100">
        <v>23</v>
      </c>
      <c r="F53" s="100">
        <f t="shared" ref="F53" si="7">G53-E53-D53-C53</f>
        <v>23</v>
      </c>
      <c r="G53" s="98">
        <v>92</v>
      </c>
      <c r="H53" s="2"/>
      <c r="I53" s="97">
        <v>29</v>
      </c>
      <c r="J53" s="100">
        <v>35</v>
      </c>
      <c r="K53" s="100">
        <v>30</v>
      </c>
      <c r="L53" s="100">
        <f>M53-K53-J53-I53</f>
        <v>29</v>
      </c>
      <c r="M53" s="107">
        <v>123</v>
      </c>
      <c r="N53" s="2"/>
      <c r="O53" s="97">
        <v>28</v>
      </c>
      <c r="P53" s="100">
        <f t="shared" ref="P53" si="8">Q53-O53</f>
        <v>27</v>
      </c>
      <c r="Q53" s="98">
        <v>55</v>
      </c>
    </row>
    <row r="54" spans="1:17" x14ac:dyDescent="0.2">
      <c r="A54" s="30" t="s">
        <v>21</v>
      </c>
      <c r="B54" s="2"/>
      <c r="C54" s="108">
        <f>C51-C53</f>
        <v>116</v>
      </c>
      <c r="D54" s="110">
        <f>D51-D53</f>
        <v>160</v>
      </c>
      <c r="E54" s="110">
        <f>E51-E53</f>
        <v>247</v>
      </c>
      <c r="F54" s="110">
        <f>F51-F53</f>
        <v>193</v>
      </c>
      <c r="G54" s="109">
        <f>G51-G53</f>
        <v>716</v>
      </c>
      <c r="H54" s="2"/>
      <c r="I54" s="108">
        <f>I51-I53</f>
        <v>122</v>
      </c>
      <c r="J54" s="110">
        <f>J51-J53</f>
        <v>83</v>
      </c>
      <c r="K54" s="110">
        <f>K51-K53</f>
        <v>286</v>
      </c>
      <c r="L54" s="110">
        <f>L51-L53</f>
        <v>267</v>
      </c>
      <c r="M54" s="109">
        <f>M51-M53</f>
        <v>758</v>
      </c>
      <c r="N54" s="2"/>
      <c r="O54" s="108">
        <f>O51-O53</f>
        <v>228</v>
      </c>
      <c r="P54" s="110">
        <f>P51-P53</f>
        <v>251</v>
      </c>
      <c r="Q54" s="109">
        <f>Q51-Q53</f>
        <v>479</v>
      </c>
    </row>
    <row r="55" spans="1:17" s="38" customFormat="1" x14ac:dyDescent="0.2">
      <c r="A55" s="32" t="s">
        <v>37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  <c r="O55" s="36">
        <f>O54/O47</f>
        <v>0.16715542521994134</v>
      </c>
      <c r="P55" s="50">
        <f>P54/P47</f>
        <v>0.18201595358955766</v>
      </c>
      <c r="Q55" s="37">
        <f>Q54/Q47</f>
        <v>0.17462632154575283</v>
      </c>
    </row>
    <row r="56" spans="1:17" ht="5.25" customHeight="1" x14ac:dyDescent="0.2">
      <c r="A56" s="30"/>
      <c r="B56" s="111"/>
      <c r="C56" s="112"/>
      <c r="D56" s="114"/>
      <c r="E56" s="114"/>
      <c r="F56" s="114"/>
      <c r="G56" s="98"/>
      <c r="H56" s="2"/>
      <c r="I56" s="112"/>
      <c r="J56" s="114"/>
      <c r="K56" s="114"/>
      <c r="L56" s="114"/>
      <c r="M56" s="113"/>
      <c r="N56" s="2"/>
      <c r="O56" s="112"/>
      <c r="P56" s="114"/>
      <c r="Q56" s="113"/>
    </row>
    <row r="57" spans="1:17" x14ac:dyDescent="0.2">
      <c r="A57" s="31" t="s">
        <v>38</v>
      </c>
      <c r="B57" s="111"/>
      <c r="C57" s="112"/>
      <c r="D57" s="114"/>
      <c r="E57" s="114"/>
      <c r="F57" s="114"/>
      <c r="G57" s="98"/>
      <c r="H57" s="2"/>
      <c r="I57" s="112"/>
      <c r="J57" s="114"/>
      <c r="K57" s="114"/>
      <c r="L57" s="114"/>
      <c r="M57" s="113"/>
      <c r="N57" s="2"/>
      <c r="O57" s="112"/>
      <c r="P57" s="114"/>
      <c r="Q57" s="113"/>
    </row>
    <row r="58" spans="1:17" x14ac:dyDescent="0.2">
      <c r="A58" s="30" t="s">
        <v>39</v>
      </c>
      <c r="B58" s="111"/>
      <c r="C58" s="97">
        <v>233</v>
      </c>
      <c r="D58" s="100">
        <v>264</v>
      </c>
      <c r="E58" s="100">
        <v>277</v>
      </c>
      <c r="F58" s="100">
        <v>226</v>
      </c>
      <c r="G58" s="98">
        <f>SUM(C58:F58)</f>
        <v>1000</v>
      </c>
      <c r="H58" s="59"/>
      <c r="I58" s="97">
        <v>278</v>
      </c>
      <c r="J58" s="100">
        <v>231</v>
      </c>
      <c r="K58" s="100">
        <v>285</v>
      </c>
      <c r="L58" s="100">
        <v>247</v>
      </c>
      <c r="M58" s="98">
        <f>SUM(I58:L58)</f>
        <v>1041</v>
      </c>
      <c r="N58" s="2"/>
      <c r="O58" s="97">
        <v>200</v>
      </c>
      <c r="P58" s="100">
        <f t="shared" ref="P58:P67" si="9">Q58-O58</f>
        <v>264</v>
      </c>
      <c r="Q58" s="98">
        <v>464</v>
      </c>
    </row>
    <row r="59" spans="1:17" x14ac:dyDescent="0.2">
      <c r="A59" s="30" t="s">
        <v>34</v>
      </c>
      <c r="B59" s="111"/>
      <c r="C59" s="97">
        <v>78</v>
      </c>
      <c r="D59" s="100">
        <v>28</v>
      </c>
      <c r="E59" s="100">
        <v>42</v>
      </c>
      <c r="F59" s="100">
        <v>53</v>
      </c>
      <c r="G59" s="98">
        <f t="shared" ref="G59:G63" si="10">SUM(C59:F59)</f>
        <v>201</v>
      </c>
      <c r="H59" s="59"/>
      <c r="I59" s="97">
        <f>80+1</f>
        <v>81</v>
      </c>
      <c r="J59" s="100">
        <v>14</v>
      </c>
      <c r="K59" s="100">
        <v>28</v>
      </c>
      <c r="L59" s="100">
        <v>55</v>
      </c>
      <c r="M59" s="98">
        <f t="shared" ref="M59:M63" si="11">SUM(I59:L59)</f>
        <v>178</v>
      </c>
      <c r="N59" s="2"/>
      <c r="O59" s="97">
        <v>48</v>
      </c>
      <c r="P59" s="100">
        <f t="shared" si="9"/>
        <v>38</v>
      </c>
      <c r="Q59" s="98">
        <v>86</v>
      </c>
    </row>
    <row r="60" spans="1:17" x14ac:dyDescent="0.2">
      <c r="A60" s="30" t="s">
        <v>40</v>
      </c>
      <c r="B60" s="111"/>
      <c r="C60" s="97">
        <v>4</v>
      </c>
      <c r="D60" s="100">
        <v>8</v>
      </c>
      <c r="E60" s="100">
        <v>6</v>
      </c>
      <c r="F60" s="100">
        <v>6</v>
      </c>
      <c r="G60" s="98">
        <f t="shared" si="10"/>
        <v>24</v>
      </c>
      <c r="H60" s="59"/>
      <c r="I60" s="97">
        <v>3</v>
      </c>
      <c r="J60" s="100">
        <v>3</v>
      </c>
      <c r="K60" s="100">
        <v>6</v>
      </c>
      <c r="L60" s="100">
        <v>6</v>
      </c>
      <c r="M60" s="98">
        <f t="shared" si="11"/>
        <v>18</v>
      </c>
      <c r="N60" s="2"/>
      <c r="O60" s="97">
        <v>17</v>
      </c>
      <c r="P60" s="100">
        <f t="shared" si="9"/>
        <v>2</v>
      </c>
      <c r="Q60" s="98">
        <v>19</v>
      </c>
    </row>
    <row r="61" spans="1:17" x14ac:dyDescent="0.2">
      <c r="A61" s="30" t="s">
        <v>41</v>
      </c>
      <c r="B61" s="111"/>
      <c r="C61" s="97">
        <v>74</v>
      </c>
      <c r="D61" s="100">
        <v>82</v>
      </c>
      <c r="E61" s="100">
        <v>56</v>
      </c>
      <c r="F61" s="100">
        <v>91</v>
      </c>
      <c r="G61" s="98">
        <f t="shared" si="10"/>
        <v>303</v>
      </c>
      <c r="H61" s="59"/>
      <c r="I61" s="97">
        <v>75</v>
      </c>
      <c r="J61" s="100">
        <v>63</v>
      </c>
      <c r="K61" s="100">
        <v>72</v>
      </c>
      <c r="L61" s="100">
        <v>79</v>
      </c>
      <c r="M61" s="98">
        <f t="shared" si="11"/>
        <v>289</v>
      </c>
      <c r="N61" s="2"/>
      <c r="O61" s="97">
        <v>30</v>
      </c>
      <c r="P61" s="100">
        <f t="shared" si="9"/>
        <v>99</v>
      </c>
      <c r="Q61" s="98">
        <v>129</v>
      </c>
    </row>
    <row r="62" spans="1:17" x14ac:dyDescent="0.2">
      <c r="A62" s="30" t="s">
        <v>42</v>
      </c>
      <c r="B62" s="111"/>
      <c r="C62" s="97">
        <v>23</v>
      </c>
      <c r="D62" s="100">
        <v>11</v>
      </c>
      <c r="E62" s="100">
        <v>8</v>
      </c>
      <c r="F62" s="100">
        <v>7</v>
      </c>
      <c r="G62" s="98">
        <f t="shared" si="10"/>
        <v>49</v>
      </c>
      <c r="H62" s="59"/>
      <c r="I62" s="97">
        <v>29</v>
      </c>
      <c r="J62" s="100">
        <v>6</v>
      </c>
      <c r="K62" s="100">
        <v>4</v>
      </c>
      <c r="L62" s="100">
        <v>9</v>
      </c>
      <c r="M62" s="98">
        <f t="shared" si="11"/>
        <v>48</v>
      </c>
      <c r="N62" s="2"/>
      <c r="O62" s="97">
        <v>3</v>
      </c>
      <c r="P62" s="100">
        <f t="shared" si="9"/>
        <v>22</v>
      </c>
      <c r="Q62" s="98">
        <v>25</v>
      </c>
    </row>
    <row r="63" spans="1:17" x14ac:dyDescent="0.2">
      <c r="A63" s="30" t="s">
        <v>43</v>
      </c>
      <c r="B63" s="111"/>
      <c r="C63" s="97">
        <v>20</v>
      </c>
      <c r="D63" s="100">
        <v>33</v>
      </c>
      <c r="E63" s="100">
        <v>32</v>
      </c>
      <c r="F63" s="100">
        <v>30</v>
      </c>
      <c r="G63" s="98">
        <f t="shared" si="10"/>
        <v>115</v>
      </c>
      <c r="H63" s="59"/>
      <c r="I63" s="97">
        <f>20-1</f>
        <v>19</v>
      </c>
      <c r="J63" s="100">
        <v>37</v>
      </c>
      <c r="K63" s="100">
        <v>22</v>
      </c>
      <c r="L63" s="100">
        <v>42</v>
      </c>
      <c r="M63" s="98">
        <f t="shared" si="11"/>
        <v>120</v>
      </c>
      <c r="N63" s="2"/>
      <c r="O63" s="97">
        <v>20</v>
      </c>
      <c r="P63" s="100">
        <f t="shared" si="9"/>
        <v>14</v>
      </c>
      <c r="Q63" s="98">
        <v>34</v>
      </c>
    </row>
    <row r="64" spans="1:17" x14ac:dyDescent="0.2">
      <c r="A64" s="51" t="s">
        <v>36</v>
      </c>
      <c r="B64" s="111"/>
      <c r="C64" s="102">
        <f>SUM(C58:C63)</f>
        <v>432</v>
      </c>
      <c r="D64" s="105">
        <f>SUM(D58:D63)</f>
        <v>426</v>
      </c>
      <c r="E64" s="105">
        <f>SUM(E58:E63)</f>
        <v>421</v>
      </c>
      <c r="F64" s="105">
        <f>SUM(F58:F63)</f>
        <v>413</v>
      </c>
      <c r="G64" s="104">
        <f>SUM(G58:G63)</f>
        <v>1692</v>
      </c>
      <c r="H64" s="2"/>
      <c r="I64" s="102">
        <f>SUM(I58:I63)</f>
        <v>485</v>
      </c>
      <c r="J64" s="105">
        <f>SUM(J58:J63)</f>
        <v>354</v>
      </c>
      <c r="K64" s="105">
        <f>SUM(K58:K63)</f>
        <v>417</v>
      </c>
      <c r="L64" s="105">
        <f>SUM(L58:L63)</f>
        <v>438</v>
      </c>
      <c r="M64" s="104">
        <f>SUM(M58:M63)</f>
        <v>1694</v>
      </c>
      <c r="N64" s="115"/>
      <c r="O64" s="102">
        <f>SUM(O58:O63)</f>
        <v>318</v>
      </c>
      <c r="P64" s="105">
        <f>SUM(P58:P63)</f>
        <v>439</v>
      </c>
      <c r="Q64" s="104">
        <f>SUM(Q58:Q63)</f>
        <v>757</v>
      </c>
    </row>
    <row r="65" spans="1:17" x14ac:dyDescent="0.2">
      <c r="A65" s="30" t="s">
        <v>16</v>
      </c>
      <c r="B65" s="111"/>
      <c r="C65" s="97">
        <v>227</v>
      </c>
      <c r="D65" s="100">
        <v>228</v>
      </c>
      <c r="E65" s="100">
        <f>227</f>
        <v>227</v>
      </c>
      <c r="F65" s="100">
        <v>206</v>
      </c>
      <c r="G65" s="98">
        <v>888</v>
      </c>
      <c r="H65" s="2"/>
      <c r="I65" s="97">
        <v>249</v>
      </c>
      <c r="J65" s="100">
        <v>193</v>
      </c>
      <c r="K65" s="100">
        <v>231</v>
      </c>
      <c r="L65" s="100">
        <v>237</v>
      </c>
      <c r="M65" s="98">
        <f>SUM(I65:L65)</f>
        <v>910</v>
      </c>
      <c r="N65" s="2"/>
      <c r="O65" s="97">
        <v>159</v>
      </c>
      <c r="P65" s="100">
        <f t="shared" si="9"/>
        <v>234</v>
      </c>
      <c r="Q65" s="98">
        <v>393</v>
      </c>
    </row>
    <row r="66" spans="1:17" s="38" customFormat="1" x14ac:dyDescent="0.2">
      <c r="A66" s="32" t="s">
        <v>37</v>
      </c>
      <c r="B66" s="35"/>
      <c r="C66" s="151">
        <f>C65/C64</f>
        <v>0.52546296296296291</v>
      </c>
      <c r="D66" s="152">
        <f>D65/D64</f>
        <v>0.53521126760563376</v>
      </c>
      <c r="E66" s="152">
        <f>E65/E64</f>
        <v>0.53919239904988125</v>
      </c>
      <c r="F66" s="152">
        <f>F65/F64</f>
        <v>0.49878934624697335</v>
      </c>
      <c r="G66" s="57">
        <f>G65/G64</f>
        <v>0.52482269503546097</v>
      </c>
      <c r="H66" s="39"/>
      <c r="I66" s="151">
        <f>I65/I64</f>
        <v>0.51340206185567006</v>
      </c>
      <c r="J66" s="152">
        <f>J65/J64</f>
        <v>0.54519774011299438</v>
      </c>
      <c r="K66" s="152">
        <f>K65/K64</f>
        <v>0.5539568345323741</v>
      </c>
      <c r="L66" s="152">
        <f>L65/L64</f>
        <v>0.54109589041095896</v>
      </c>
      <c r="M66" s="57">
        <f>M65/M64</f>
        <v>0.53719008264462809</v>
      </c>
      <c r="N66" s="39"/>
      <c r="O66" s="151">
        <f>O65/O64</f>
        <v>0.5</v>
      </c>
      <c r="P66" s="152">
        <f>P65/P64</f>
        <v>0.53302961275626426</v>
      </c>
      <c r="Q66" s="57">
        <f>Q65/Q64</f>
        <v>0.51915455746367234</v>
      </c>
    </row>
    <row r="67" spans="1:17" x14ac:dyDescent="0.2">
      <c r="A67" s="30" t="s">
        <v>18</v>
      </c>
      <c r="B67" s="106"/>
      <c r="C67" s="97">
        <v>120</v>
      </c>
      <c r="D67" s="120">
        <f>119+1</f>
        <v>120</v>
      </c>
      <c r="E67" s="100">
        <f>128+3</f>
        <v>131</v>
      </c>
      <c r="F67" s="100">
        <v>132</v>
      </c>
      <c r="G67" s="98">
        <f t="shared" ref="G67" si="12">SUM(C67:F67)</f>
        <v>503</v>
      </c>
      <c r="H67" s="2"/>
      <c r="I67" s="116">
        <v>137</v>
      </c>
      <c r="J67" s="100">
        <v>129</v>
      </c>
      <c r="K67" s="100">
        <v>133</v>
      </c>
      <c r="L67" s="100">
        <v>135</v>
      </c>
      <c r="M67" s="98">
        <f>SUM(I67:L67)</f>
        <v>534</v>
      </c>
      <c r="N67" s="2"/>
      <c r="O67" s="116">
        <v>136</v>
      </c>
      <c r="P67" s="100">
        <f t="shared" si="9"/>
        <v>140</v>
      </c>
      <c r="Q67" s="119">
        <v>276</v>
      </c>
    </row>
    <row r="68" spans="1:17" x14ac:dyDescent="0.2">
      <c r="A68" s="51" t="s">
        <v>19</v>
      </c>
      <c r="B68" s="88"/>
      <c r="C68" s="102">
        <f>C65-C67</f>
        <v>107</v>
      </c>
      <c r="D68" s="105">
        <f>D65-D67</f>
        <v>108</v>
      </c>
      <c r="E68" s="105">
        <f>E65-E67</f>
        <v>96</v>
      </c>
      <c r="F68" s="105">
        <f>F65-F67</f>
        <v>74</v>
      </c>
      <c r="G68" s="104">
        <f>G65-G67</f>
        <v>385</v>
      </c>
      <c r="H68" s="2"/>
      <c r="I68" s="102">
        <f>I65-I67</f>
        <v>112</v>
      </c>
      <c r="J68" s="105">
        <f>J65-J67</f>
        <v>64</v>
      </c>
      <c r="K68" s="105">
        <f>K65-K67</f>
        <v>98</v>
      </c>
      <c r="L68" s="105">
        <f>L65-L67</f>
        <v>102</v>
      </c>
      <c r="M68" s="104">
        <f>M65-M67</f>
        <v>376</v>
      </c>
      <c r="N68" s="2"/>
      <c r="O68" s="102">
        <f>O65-O67</f>
        <v>23</v>
      </c>
      <c r="P68" s="105">
        <f>P65-P67</f>
        <v>94</v>
      </c>
      <c r="Q68" s="104">
        <f>Q65-Q67</f>
        <v>117</v>
      </c>
    </row>
    <row r="69" spans="1:17" s="38" customFormat="1" x14ac:dyDescent="0.2">
      <c r="A69" s="32" t="s">
        <v>37</v>
      </c>
      <c r="B69" s="35"/>
      <c r="C69" s="151">
        <f>C68/C64</f>
        <v>0.24768518518518517</v>
      </c>
      <c r="D69" s="152">
        <f>D68/D64</f>
        <v>0.25352112676056338</v>
      </c>
      <c r="E69" s="152">
        <f>E68/E64</f>
        <v>0.22802850356294538</v>
      </c>
      <c r="F69" s="152">
        <f>F68/F64</f>
        <v>0.1791767554479419</v>
      </c>
      <c r="G69" s="57">
        <f>G68/G64</f>
        <v>0.22754137115839243</v>
      </c>
      <c r="H69" s="39"/>
      <c r="I69" s="151">
        <f>I68/I64</f>
        <v>0.2309278350515464</v>
      </c>
      <c r="J69" s="152">
        <f>J68/J64</f>
        <v>0.1807909604519774</v>
      </c>
      <c r="K69" s="152">
        <f>K68/K64</f>
        <v>0.23501199040767387</v>
      </c>
      <c r="L69" s="152">
        <f>L68/L64</f>
        <v>0.23287671232876711</v>
      </c>
      <c r="M69" s="57">
        <f>M68/M64</f>
        <v>0.22195985832349469</v>
      </c>
      <c r="O69" s="151">
        <f>O68/O64</f>
        <v>7.2327044025157231E-2</v>
      </c>
      <c r="P69" s="152">
        <f>P68/P64</f>
        <v>0.21412300683371299</v>
      </c>
      <c r="Q69" s="57">
        <f>Q68/Q64</f>
        <v>0.15455746367239101</v>
      </c>
    </row>
    <row r="70" spans="1:17" x14ac:dyDescent="0.2">
      <c r="A70" s="30" t="s">
        <v>20</v>
      </c>
      <c r="B70" s="2"/>
      <c r="C70" s="121">
        <v>4</v>
      </c>
      <c r="D70" s="100">
        <v>4</v>
      </c>
      <c r="E70" s="100">
        <v>4</v>
      </c>
      <c r="F70" s="100">
        <v>4</v>
      </c>
      <c r="G70" s="123">
        <f>SUM(C70:F70)</f>
        <v>16</v>
      </c>
      <c r="H70" s="2"/>
      <c r="I70" s="121">
        <v>4</v>
      </c>
      <c r="J70" s="100">
        <v>3</v>
      </c>
      <c r="K70" s="100">
        <v>3</v>
      </c>
      <c r="L70" s="100">
        <v>3</v>
      </c>
      <c r="M70" s="98">
        <f>SUM(I70:L70)</f>
        <v>13</v>
      </c>
      <c r="N70" s="2"/>
      <c r="O70" s="121">
        <v>4</v>
      </c>
      <c r="P70" s="100">
        <f t="shared" ref="P70" si="13">Q70-O70</f>
        <v>4</v>
      </c>
      <c r="Q70" s="123">
        <v>8</v>
      </c>
    </row>
    <row r="71" spans="1:17" x14ac:dyDescent="0.2">
      <c r="A71" s="30" t="s">
        <v>21</v>
      </c>
      <c r="B71" s="2"/>
      <c r="C71" s="108">
        <f>C68-C70</f>
        <v>103</v>
      </c>
      <c r="D71" s="110">
        <f>D68-D70</f>
        <v>104</v>
      </c>
      <c r="E71" s="110">
        <f>E68-E70</f>
        <v>92</v>
      </c>
      <c r="F71" s="110">
        <f>F68-F70</f>
        <v>70</v>
      </c>
      <c r="G71" s="109">
        <f>G68-G70</f>
        <v>369</v>
      </c>
      <c r="H71" s="2"/>
      <c r="I71" s="108">
        <f>I68-I70</f>
        <v>108</v>
      </c>
      <c r="J71" s="110">
        <f>J68-J70</f>
        <v>61</v>
      </c>
      <c r="K71" s="110">
        <f>K68-K70</f>
        <v>95</v>
      </c>
      <c r="L71" s="110">
        <f>L68-L70</f>
        <v>99</v>
      </c>
      <c r="M71" s="109">
        <f>M68-M70</f>
        <v>363</v>
      </c>
      <c r="N71" s="2"/>
      <c r="O71" s="108">
        <f>O68-O70</f>
        <v>19</v>
      </c>
      <c r="P71" s="110">
        <f>P68-P70</f>
        <v>90</v>
      </c>
      <c r="Q71" s="109">
        <f>Q68-Q70</f>
        <v>109</v>
      </c>
    </row>
    <row r="72" spans="1:17" s="38" customFormat="1" x14ac:dyDescent="0.2">
      <c r="A72" s="32" t="s">
        <v>37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  <c r="O72" s="36">
        <f>O71/O64</f>
        <v>5.9748427672955975E-2</v>
      </c>
      <c r="P72" s="50">
        <f>P71/P64</f>
        <v>0.20501138952164008</v>
      </c>
      <c r="Q72" s="37">
        <f>Q71/Q64</f>
        <v>0.14398943196829592</v>
      </c>
    </row>
    <row r="73" spans="1:17" ht="5.25" customHeight="1" x14ac:dyDescent="0.2">
      <c r="A73" s="30"/>
      <c r="B73" s="106"/>
      <c r="C73" s="125"/>
      <c r="D73" s="127"/>
      <c r="E73" s="127"/>
      <c r="F73" s="127"/>
      <c r="G73" s="126"/>
      <c r="H73" s="2"/>
      <c r="I73" s="125"/>
      <c r="J73" s="127"/>
      <c r="K73" s="127"/>
      <c r="L73" s="127"/>
      <c r="M73" s="126"/>
      <c r="N73" s="2"/>
      <c r="O73" s="125"/>
      <c r="P73" s="127"/>
      <c r="Q73" s="126"/>
    </row>
    <row r="74" spans="1:17" x14ac:dyDescent="0.2">
      <c r="A74" s="31" t="s">
        <v>44</v>
      </c>
      <c r="B74" s="111"/>
      <c r="C74" s="112"/>
      <c r="D74" s="114"/>
      <c r="E74" s="114"/>
      <c r="F74" s="114"/>
      <c r="G74" s="98"/>
      <c r="H74" s="2"/>
      <c r="I74" s="112"/>
      <c r="J74" s="114"/>
      <c r="K74" s="114"/>
      <c r="L74" s="114"/>
      <c r="M74" s="113"/>
      <c r="N74" s="2"/>
      <c r="O74" s="112"/>
      <c r="P74" s="114"/>
      <c r="Q74" s="113"/>
    </row>
    <row r="75" spans="1:17" x14ac:dyDescent="0.2">
      <c r="A75" s="30" t="s">
        <v>39</v>
      </c>
      <c r="B75" s="111"/>
      <c r="C75" s="97">
        <v>170</v>
      </c>
      <c r="D75" s="100">
        <v>218</v>
      </c>
      <c r="E75" s="100">
        <v>182</v>
      </c>
      <c r="F75" s="100">
        <v>197</v>
      </c>
      <c r="G75" s="98">
        <f>SUM(C75:F75)</f>
        <v>767</v>
      </c>
      <c r="H75" s="59"/>
      <c r="I75" s="97">
        <v>195</v>
      </c>
      <c r="J75" s="100">
        <v>267</v>
      </c>
      <c r="K75" s="100">
        <f>239-20</f>
        <v>219</v>
      </c>
      <c r="L75" s="100">
        <f>174+20</f>
        <v>194</v>
      </c>
      <c r="M75" s="98">
        <f t="shared" ref="M75:M80" si="14">SUM(I75:L75)</f>
        <v>875</v>
      </c>
      <c r="N75" s="2"/>
      <c r="O75" s="97">
        <v>188</v>
      </c>
      <c r="P75" s="100">
        <f t="shared" ref="P75:P80" si="15">Q75-O75</f>
        <v>254</v>
      </c>
      <c r="Q75" s="98">
        <v>442</v>
      </c>
    </row>
    <row r="76" spans="1:17" x14ac:dyDescent="0.2">
      <c r="A76" s="30" t="s">
        <v>34</v>
      </c>
      <c r="B76" s="111"/>
      <c r="C76" s="97">
        <v>248</v>
      </c>
      <c r="D76" s="100">
        <v>342</v>
      </c>
      <c r="E76" s="100">
        <v>303</v>
      </c>
      <c r="F76" s="100">
        <v>277</v>
      </c>
      <c r="G76" s="98">
        <f t="shared" ref="G76:G80" si="16">SUM(C76:F76)</f>
        <v>1170</v>
      </c>
      <c r="H76" s="59"/>
      <c r="I76" s="97">
        <v>254</v>
      </c>
      <c r="J76" s="100">
        <f>426-17</f>
        <v>409</v>
      </c>
      <c r="K76" s="100">
        <f>276+15</f>
        <v>291</v>
      </c>
      <c r="L76" s="100">
        <f>267+1</f>
        <v>268</v>
      </c>
      <c r="M76" s="98">
        <f t="shared" si="14"/>
        <v>1222</v>
      </c>
      <c r="N76" s="2"/>
      <c r="O76" s="97">
        <v>215</v>
      </c>
      <c r="P76" s="100">
        <f t="shared" si="15"/>
        <v>409</v>
      </c>
      <c r="Q76" s="98">
        <v>624</v>
      </c>
    </row>
    <row r="77" spans="1:17" x14ac:dyDescent="0.2">
      <c r="A77" s="30" t="s">
        <v>40</v>
      </c>
      <c r="B77" s="111"/>
      <c r="C77" s="97">
        <v>29</v>
      </c>
      <c r="D77" s="100">
        <v>50</v>
      </c>
      <c r="E77" s="100">
        <v>47</v>
      </c>
      <c r="F77" s="100">
        <v>130</v>
      </c>
      <c r="G77" s="98">
        <f t="shared" si="16"/>
        <v>256</v>
      </c>
      <c r="H77" s="59"/>
      <c r="I77" s="97">
        <v>20</v>
      </c>
      <c r="J77" s="100">
        <v>26</v>
      </c>
      <c r="K77" s="100">
        <f>131-15</f>
        <v>116</v>
      </c>
      <c r="L77" s="100">
        <f>122+15</f>
        <v>137</v>
      </c>
      <c r="M77" s="98">
        <f t="shared" si="14"/>
        <v>299</v>
      </c>
      <c r="N77" s="2"/>
      <c r="O77" s="97">
        <v>45</v>
      </c>
      <c r="P77" s="100">
        <f t="shared" si="15"/>
        <v>56</v>
      </c>
      <c r="Q77" s="98">
        <v>101</v>
      </c>
    </row>
    <row r="78" spans="1:17" x14ac:dyDescent="0.2">
      <c r="A78" s="30" t="s">
        <v>41</v>
      </c>
      <c r="B78" s="111"/>
      <c r="C78" s="97">
        <v>75</v>
      </c>
      <c r="D78" s="100">
        <v>62</v>
      </c>
      <c r="E78" s="100">
        <v>62</v>
      </c>
      <c r="F78" s="100">
        <v>94</v>
      </c>
      <c r="G78" s="98">
        <f t="shared" si="16"/>
        <v>293</v>
      </c>
      <c r="H78" s="59"/>
      <c r="I78" s="97">
        <v>77</v>
      </c>
      <c r="J78" s="100">
        <v>64</v>
      </c>
      <c r="K78" s="100">
        <f>107-19</f>
        <v>88</v>
      </c>
      <c r="L78" s="100">
        <f>43+19</f>
        <v>62</v>
      </c>
      <c r="M78" s="98">
        <f t="shared" si="14"/>
        <v>291</v>
      </c>
      <c r="N78" s="2"/>
      <c r="O78" s="97">
        <v>48</v>
      </c>
      <c r="P78" s="100">
        <f t="shared" si="15"/>
        <v>63</v>
      </c>
      <c r="Q78" s="98">
        <v>111</v>
      </c>
    </row>
    <row r="79" spans="1:17" x14ac:dyDescent="0.2">
      <c r="A79" s="30" t="s">
        <v>42</v>
      </c>
      <c r="B79" s="111"/>
      <c r="C79" s="97">
        <v>65</v>
      </c>
      <c r="D79" s="100">
        <v>118</v>
      </c>
      <c r="E79" s="100">
        <v>78</v>
      </c>
      <c r="F79" s="100">
        <v>149</v>
      </c>
      <c r="G79" s="98">
        <f t="shared" si="16"/>
        <v>410</v>
      </c>
      <c r="H79" s="59"/>
      <c r="I79" s="97">
        <v>82</v>
      </c>
      <c r="J79" s="100">
        <v>120</v>
      </c>
      <c r="K79" s="100">
        <v>120</v>
      </c>
      <c r="L79" s="100">
        <v>169</v>
      </c>
      <c r="M79" s="98">
        <f t="shared" si="14"/>
        <v>491</v>
      </c>
      <c r="N79" s="2"/>
      <c r="O79" s="97">
        <v>89</v>
      </c>
      <c r="P79" s="100">
        <f t="shared" si="15"/>
        <v>61</v>
      </c>
      <c r="Q79" s="98">
        <v>150</v>
      </c>
    </row>
    <row r="80" spans="1:17" x14ac:dyDescent="0.2">
      <c r="A80" s="30" t="s">
        <v>43</v>
      </c>
      <c r="B80" s="111"/>
      <c r="C80" s="97">
        <v>20</v>
      </c>
      <c r="D80" s="100">
        <v>14</v>
      </c>
      <c r="E80" s="100">
        <v>47</v>
      </c>
      <c r="F80" s="100">
        <v>44</v>
      </c>
      <c r="G80" s="98">
        <f t="shared" si="16"/>
        <v>125</v>
      </c>
      <c r="H80" s="59"/>
      <c r="I80" s="97">
        <v>21</v>
      </c>
      <c r="J80" s="100">
        <f>23+1</f>
        <v>24</v>
      </c>
      <c r="K80" s="100">
        <v>40</v>
      </c>
      <c r="L80" s="100">
        <v>48</v>
      </c>
      <c r="M80" s="98">
        <f t="shared" si="14"/>
        <v>133</v>
      </c>
      <c r="N80" s="2"/>
      <c r="O80" s="97">
        <v>24</v>
      </c>
      <c r="P80" s="100">
        <f t="shared" si="15"/>
        <v>24</v>
      </c>
      <c r="Q80" s="98">
        <v>48</v>
      </c>
    </row>
    <row r="81" spans="1:17" x14ac:dyDescent="0.2">
      <c r="A81" s="51" t="s">
        <v>36</v>
      </c>
      <c r="B81" s="111"/>
      <c r="C81" s="102">
        <f>SUM(C75:C80)</f>
        <v>607</v>
      </c>
      <c r="D81" s="105">
        <f>SUM(D75:D80)</f>
        <v>804</v>
      </c>
      <c r="E81" s="105">
        <f>SUM(E75:E80)</f>
        <v>719</v>
      </c>
      <c r="F81" s="105">
        <f>SUM(F75:F80)</f>
        <v>891</v>
      </c>
      <c r="G81" s="104">
        <f>SUM(G75:G80)</f>
        <v>3021</v>
      </c>
      <c r="H81" s="2"/>
      <c r="I81" s="102">
        <f>SUM(I75:I80)</f>
        <v>649</v>
      </c>
      <c r="J81" s="105">
        <f>SUM(J75:J80)</f>
        <v>910</v>
      </c>
      <c r="K81" s="105">
        <f>SUM(K75:K80)</f>
        <v>874</v>
      </c>
      <c r="L81" s="105">
        <f>SUM(L75:L80)</f>
        <v>878</v>
      </c>
      <c r="M81" s="104">
        <f>SUM(M75:M80)</f>
        <v>3311</v>
      </c>
      <c r="N81" s="144"/>
      <c r="O81" s="102">
        <f>SUM(O75:O80)</f>
        <v>609</v>
      </c>
      <c r="P81" s="105">
        <f>SUM(P75:P80)</f>
        <v>867</v>
      </c>
      <c r="Q81" s="104">
        <f>SUM(Q75:Q80)</f>
        <v>1476</v>
      </c>
    </row>
    <row r="82" spans="1:17" x14ac:dyDescent="0.2">
      <c r="A82" s="30" t="s">
        <v>16</v>
      </c>
      <c r="B82" s="111"/>
      <c r="C82" s="97">
        <v>230</v>
      </c>
      <c r="D82" s="100">
        <v>342</v>
      </c>
      <c r="E82" s="100">
        <f>301</f>
        <v>301</v>
      </c>
      <c r="F82" s="100">
        <v>396</v>
      </c>
      <c r="G82" s="98">
        <f t="shared" ref="G82" si="17">SUM(C82:F82)</f>
        <v>1269</v>
      </c>
      <c r="H82" s="2"/>
      <c r="I82" s="97">
        <v>262</v>
      </c>
      <c r="J82" s="100">
        <v>394</v>
      </c>
      <c r="K82" s="100">
        <v>372</v>
      </c>
      <c r="L82" s="100">
        <v>386</v>
      </c>
      <c r="M82" s="98">
        <f>SUM(I82:L82)</f>
        <v>1414</v>
      </c>
      <c r="N82" s="2"/>
      <c r="O82" s="97">
        <v>241</v>
      </c>
      <c r="P82" s="100">
        <f t="shared" ref="P82" si="18">Q82-O82</f>
        <v>374</v>
      </c>
      <c r="Q82" s="98">
        <v>615</v>
      </c>
    </row>
    <row r="83" spans="1:17" s="38" customFormat="1" x14ac:dyDescent="0.2">
      <c r="A83" s="32" t="s">
        <v>37</v>
      </c>
      <c r="B83" s="35"/>
      <c r="C83" s="151">
        <f>C82/C81</f>
        <v>0.37891268533772654</v>
      </c>
      <c r="D83" s="152">
        <f>D82/D81</f>
        <v>0.42537313432835822</v>
      </c>
      <c r="E83" s="152">
        <f>E82/E81</f>
        <v>0.41863699582753827</v>
      </c>
      <c r="F83" s="152">
        <f>F82/F81</f>
        <v>0.44444444444444442</v>
      </c>
      <c r="G83" s="57">
        <f>G82/G81</f>
        <v>0.42005958291956308</v>
      </c>
      <c r="H83" s="39"/>
      <c r="I83" s="151">
        <f>I82/I81</f>
        <v>0.40369799691833591</v>
      </c>
      <c r="J83" s="152">
        <f>J82/J81</f>
        <v>0.43296703296703298</v>
      </c>
      <c r="K83" s="152">
        <f>K82/K81</f>
        <v>0.42562929061784899</v>
      </c>
      <c r="L83" s="152">
        <f>L82/L81</f>
        <v>0.43963553530751709</v>
      </c>
      <c r="M83" s="57">
        <f>M82/M81</f>
        <v>0.42706131078224102</v>
      </c>
      <c r="N83" s="39"/>
      <c r="O83" s="151">
        <f>O82/O81</f>
        <v>0.39573070607553368</v>
      </c>
      <c r="P83" s="152">
        <f>P82/P81</f>
        <v>0.43137254901960786</v>
      </c>
      <c r="Q83" s="57">
        <f>Q82/Q81</f>
        <v>0.41666666666666669</v>
      </c>
    </row>
    <row r="84" spans="1:17" x14ac:dyDescent="0.2">
      <c r="A84" s="30" t="s">
        <v>18</v>
      </c>
      <c r="B84" s="106"/>
      <c r="C84" s="97">
        <v>246</v>
      </c>
      <c r="D84" s="120">
        <v>258</v>
      </c>
      <c r="E84" s="100">
        <v>232</v>
      </c>
      <c r="F84" s="100">
        <f>261-6</f>
        <v>255</v>
      </c>
      <c r="G84" s="98">
        <f t="shared" ref="G84" si="19">SUM(C84:F84)</f>
        <v>991</v>
      </c>
      <c r="H84" s="2"/>
      <c r="I84" s="116">
        <v>274</v>
      </c>
      <c r="J84" s="100">
        <v>262</v>
      </c>
      <c r="K84" s="100">
        <v>260</v>
      </c>
      <c r="L84" s="100">
        <v>254</v>
      </c>
      <c r="M84" s="98">
        <f>SUM(I84:L84)</f>
        <v>1050</v>
      </c>
      <c r="N84" s="2"/>
      <c r="O84" s="116">
        <f>243+9</f>
        <v>252</v>
      </c>
      <c r="P84" s="100">
        <f t="shared" ref="P84" si="20">Q84-O84</f>
        <v>252</v>
      </c>
      <c r="Q84" s="119">
        <v>504</v>
      </c>
    </row>
    <row r="85" spans="1:17" x14ac:dyDescent="0.2">
      <c r="A85" s="51" t="s">
        <v>19</v>
      </c>
      <c r="B85" s="88"/>
      <c r="C85" s="102">
        <f>C82-C84</f>
        <v>-16</v>
      </c>
      <c r="D85" s="105">
        <f>D82-D84</f>
        <v>84</v>
      </c>
      <c r="E85" s="105">
        <f>E82-E84</f>
        <v>69</v>
      </c>
      <c r="F85" s="105">
        <f>F82-F84</f>
        <v>141</v>
      </c>
      <c r="G85" s="104">
        <f>G82-G84</f>
        <v>278</v>
      </c>
      <c r="H85" s="2"/>
      <c r="I85" s="102">
        <f>I82-I84</f>
        <v>-12</v>
      </c>
      <c r="J85" s="105">
        <f>J82-J84</f>
        <v>132</v>
      </c>
      <c r="K85" s="105">
        <f>K82-K84</f>
        <v>112</v>
      </c>
      <c r="L85" s="105">
        <f>L82-L84</f>
        <v>132</v>
      </c>
      <c r="M85" s="104">
        <f>M82-M84</f>
        <v>364</v>
      </c>
      <c r="N85" s="2"/>
      <c r="O85" s="102">
        <f>O82-O84</f>
        <v>-11</v>
      </c>
      <c r="P85" s="105">
        <f>P82-P84</f>
        <v>122</v>
      </c>
      <c r="Q85" s="104">
        <f>Q82-Q84</f>
        <v>111</v>
      </c>
    </row>
    <row r="86" spans="1:17" s="38" customFormat="1" x14ac:dyDescent="0.2">
      <c r="A86" s="32" t="s">
        <v>37</v>
      </c>
      <c r="B86" s="35"/>
      <c r="C86" s="151">
        <f>C85/C81</f>
        <v>-2.6359143327841845E-2</v>
      </c>
      <c r="D86" s="152">
        <f>D85/D81</f>
        <v>0.1044776119402985</v>
      </c>
      <c r="E86" s="152">
        <f>E85/E81</f>
        <v>9.5966620305980535E-2</v>
      </c>
      <c r="F86" s="152">
        <f>F85/F81</f>
        <v>0.15824915824915825</v>
      </c>
      <c r="G86" s="57">
        <f>G85/G81</f>
        <v>9.2022509102946043E-2</v>
      </c>
      <c r="H86" s="39"/>
      <c r="I86" s="151">
        <f>I85/I81</f>
        <v>-1.8489984591679508E-2</v>
      </c>
      <c r="J86" s="152">
        <f>J85/J81</f>
        <v>0.14505494505494507</v>
      </c>
      <c r="K86" s="152">
        <f>K85/K81</f>
        <v>0.12814645308924486</v>
      </c>
      <c r="L86" s="152">
        <f>L85/L81</f>
        <v>0.15034168564920272</v>
      </c>
      <c r="M86" s="57">
        <f>M85/M81</f>
        <v>0.10993657505285412</v>
      </c>
      <c r="O86" s="151">
        <f>O85/O81</f>
        <v>-1.8062397372742199E-2</v>
      </c>
      <c r="P86" s="152">
        <f>P85/P81</f>
        <v>0.14071510957324107</v>
      </c>
      <c r="Q86" s="57">
        <f>Q85/Q81</f>
        <v>7.5203252032520332E-2</v>
      </c>
    </row>
    <row r="87" spans="1:17" x14ac:dyDescent="0.2">
      <c r="A87" s="30" t="s">
        <v>20</v>
      </c>
      <c r="B87" s="2"/>
      <c r="C87" s="121">
        <v>25</v>
      </c>
      <c r="D87" s="100">
        <v>23</v>
      </c>
      <c r="E87" s="100">
        <v>23</v>
      </c>
      <c r="F87" s="100">
        <v>25</v>
      </c>
      <c r="G87" s="123">
        <f>SUM(C87:F87)</f>
        <v>96</v>
      </c>
      <c r="H87" s="2"/>
      <c r="I87" s="121">
        <v>23</v>
      </c>
      <c r="J87" s="100">
        <v>21</v>
      </c>
      <c r="K87" s="100">
        <v>21</v>
      </c>
      <c r="L87" s="100">
        <v>21</v>
      </c>
      <c r="M87" s="98">
        <f>SUM(I87:L87)</f>
        <v>86</v>
      </c>
      <c r="N87" s="2"/>
      <c r="O87" s="121">
        <v>25</v>
      </c>
      <c r="P87" s="100">
        <f t="shared" ref="P87" si="21">Q87-O87</f>
        <v>24</v>
      </c>
      <c r="Q87" s="123">
        <v>49</v>
      </c>
    </row>
    <row r="88" spans="1:17" x14ac:dyDescent="0.2">
      <c r="A88" s="30" t="s">
        <v>21</v>
      </c>
      <c r="B88" s="2"/>
      <c r="C88" s="108">
        <f>C85-C87</f>
        <v>-41</v>
      </c>
      <c r="D88" s="110">
        <f>D85-D87</f>
        <v>61</v>
      </c>
      <c r="E88" s="110">
        <f>E85-E87</f>
        <v>46</v>
      </c>
      <c r="F88" s="110">
        <f>F85-F87</f>
        <v>116</v>
      </c>
      <c r="G88" s="109">
        <f>G85-G87</f>
        <v>182</v>
      </c>
      <c r="H88" s="2"/>
      <c r="I88" s="108">
        <f>I85-I87</f>
        <v>-35</v>
      </c>
      <c r="J88" s="110">
        <f>J85-J87</f>
        <v>111</v>
      </c>
      <c r="K88" s="110">
        <f>K85-K87</f>
        <v>91</v>
      </c>
      <c r="L88" s="110">
        <f>L85-L87</f>
        <v>111</v>
      </c>
      <c r="M88" s="109">
        <f>M85-M87</f>
        <v>278</v>
      </c>
      <c r="N88" s="2"/>
      <c r="O88" s="108">
        <f>O85-O87</f>
        <v>-36</v>
      </c>
      <c r="P88" s="110">
        <f>P85-P87</f>
        <v>98</v>
      </c>
      <c r="Q88" s="109">
        <f>Q85-Q87</f>
        <v>62</v>
      </c>
    </row>
    <row r="89" spans="1:17" s="38" customFormat="1" x14ac:dyDescent="0.2">
      <c r="A89" s="32" t="s">
        <v>37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  <c r="O89" s="36">
        <f>O88/O81</f>
        <v>-5.9113300492610835E-2</v>
      </c>
      <c r="P89" s="50">
        <f>P88/P81</f>
        <v>0.11303344867358708</v>
      </c>
      <c r="Q89" s="37">
        <f>Q88/Q81</f>
        <v>4.2005420054200542E-2</v>
      </c>
    </row>
    <row r="90" spans="1:17" ht="5.25" customHeight="1" x14ac:dyDescent="0.2">
      <c r="A90" s="30"/>
      <c r="B90" s="106"/>
      <c r="C90" s="125"/>
      <c r="D90" s="127"/>
      <c r="E90" s="127"/>
      <c r="F90" s="127"/>
      <c r="G90" s="126"/>
      <c r="H90" s="2"/>
      <c r="I90" s="125"/>
      <c r="J90" s="127"/>
      <c r="K90" s="127"/>
      <c r="L90" s="127"/>
      <c r="M90" s="126"/>
      <c r="N90" s="2"/>
      <c r="O90" s="125"/>
      <c r="P90" s="127"/>
      <c r="Q90" s="126"/>
    </row>
    <row r="91" spans="1:17" x14ac:dyDescent="0.2">
      <c r="A91" s="31" t="s">
        <v>45</v>
      </c>
      <c r="B91" s="111"/>
      <c r="C91" s="93"/>
      <c r="D91" s="96"/>
      <c r="E91" s="96"/>
      <c r="F91" s="96"/>
      <c r="G91" s="94"/>
      <c r="H91" s="2"/>
      <c r="I91" s="93"/>
      <c r="J91" s="96"/>
      <c r="K91" s="96"/>
      <c r="L91" s="96"/>
      <c r="M91" s="94"/>
      <c r="N91" s="2"/>
      <c r="O91" s="93"/>
      <c r="P91" s="96"/>
      <c r="Q91" s="94"/>
    </row>
    <row r="92" spans="1:17" x14ac:dyDescent="0.2">
      <c r="A92" s="51" t="s">
        <v>36</v>
      </c>
      <c r="B92" s="111"/>
      <c r="C92" s="102">
        <v>0</v>
      </c>
      <c r="D92" s="105">
        <v>0</v>
      </c>
      <c r="E92" s="105">
        <v>0</v>
      </c>
      <c r="F92" s="105">
        <f>G92-E92-D92-C92</f>
        <v>0</v>
      </c>
      <c r="G92" s="104">
        <v>0</v>
      </c>
      <c r="H92" s="2"/>
      <c r="I92" s="102">
        <v>0</v>
      </c>
      <c r="J92" s="105">
        <v>0</v>
      </c>
      <c r="K92" s="105">
        <v>0</v>
      </c>
      <c r="L92" s="105">
        <v>0</v>
      </c>
      <c r="M92" s="104">
        <v>0</v>
      </c>
      <c r="N92" s="2"/>
      <c r="O92" s="102">
        <v>0</v>
      </c>
      <c r="P92" s="105">
        <v>0</v>
      </c>
      <c r="Q92" s="104">
        <v>0</v>
      </c>
    </row>
    <row r="93" spans="1:17" x14ac:dyDescent="0.2">
      <c r="A93" s="30" t="s">
        <v>16</v>
      </c>
      <c r="B93" s="111"/>
      <c r="C93" s="125" t="s">
        <v>46</v>
      </c>
      <c r="D93" s="106" t="s">
        <v>46</v>
      </c>
      <c r="E93" s="106" t="s">
        <v>46</v>
      </c>
      <c r="F93" s="106" t="s">
        <v>46</v>
      </c>
      <c r="G93" s="126" t="s">
        <v>46</v>
      </c>
      <c r="H93" s="2"/>
      <c r="I93" s="125" t="s">
        <v>46</v>
      </c>
      <c r="J93" s="127" t="s">
        <v>46</v>
      </c>
      <c r="K93" s="127" t="s">
        <v>46</v>
      </c>
      <c r="L93" s="127" t="s">
        <v>46</v>
      </c>
      <c r="M93" s="126" t="s">
        <v>46</v>
      </c>
      <c r="N93" s="2"/>
      <c r="O93" s="125" t="s">
        <v>46</v>
      </c>
      <c r="P93" s="127" t="s">
        <v>46</v>
      </c>
      <c r="Q93" s="126" t="s">
        <v>46</v>
      </c>
    </row>
    <row r="94" spans="1:17" s="38" customFormat="1" x14ac:dyDescent="0.2">
      <c r="A94" s="32" t="s">
        <v>37</v>
      </c>
      <c r="B94" s="35"/>
      <c r="C94" s="36" t="s">
        <v>46</v>
      </c>
      <c r="D94" s="35" t="s">
        <v>46</v>
      </c>
      <c r="E94" s="35" t="s">
        <v>46</v>
      </c>
      <c r="F94" s="35" t="s">
        <v>46</v>
      </c>
      <c r="G94" s="37" t="s">
        <v>46</v>
      </c>
      <c r="I94" s="36" t="s">
        <v>46</v>
      </c>
      <c r="J94" s="50" t="s">
        <v>46</v>
      </c>
      <c r="K94" s="50" t="s">
        <v>46</v>
      </c>
      <c r="L94" s="50" t="s">
        <v>46</v>
      </c>
      <c r="M94" s="37" t="s">
        <v>46</v>
      </c>
      <c r="O94" s="36" t="s">
        <v>46</v>
      </c>
      <c r="P94" s="50" t="s">
        <v>46</v>
      </c>
      <c r="Q94" s="37" t="s">
        <v>46</v>
      </c>
    </row>
    <row r="95" spans="1:17" x14ac:dyDescent="0.2">
      <c r="A95" s="30" t="s">
        <v>18</v>
      </c>
      <c r="B95" s="106"/>
      <c r="C95" s="97">
        <v>23</v>
      </c>
      <c r="D95" s="120">
        <v>23</v>
      </c>
      <c r="E95" s="100">
        <v>21</v>
      </c>
      <c r="F95" s="100">
        <f>17+6</f>
        <v>23</v>
      </c>
      <c r="G95" s="119">
        <f>SUM(C95:F95)</f>
        <v>90</v>
      </c>
      <c r="H95" s="2"/>
      <c r="I95" s="116">
        <v>23</v>
      </c>
      <c r="J95" s="100">
        <v>26</v>
      </c>
      <c r="K95" s="100">
        <v>25</v>
      </c>
      <c r="L95" s="100">
        <v>25</v>
      </c>
      <c r="M95" s="98">
        <f>SUM(I95:L95)</f>
        <v>99</v>
      </c>
      <c r="N95" s="2"/>
      <c r="O95" s="116">
        <v>28</v>
      </c>
      <c r="P95" s="100">
        <f t="shared" ref="P95" si="22">Q95-O95</f>
        <v>29</v>
      </c>
      <c r="Q95" s="119">
        <v>57</v>
      </c>
    </row>
    <row r="96" spans="1:17" x14ac:dyDescent="0.2">
      <c r="A96" s="51" t="s">
        <v>19</v>
      </c>
      <c r="B96" s="88"/>
      <c r="C96" s="102">
        <f>-C95</f>
        <v>-23</v>
      </c>
      <c r="D96" s="105">
        <f>-D95</f>
        <v>-23</v>
      </c>
      <c r="E96" s="105">
        <f>-E95</f>
        <v>-21</v>
      </c>
      <c r="F96" s="105">
        <f>-F95</f>
        <v>-23</v>
      </c>
      <c r="G96" s="104">
        <f>-G95</f>
        <v>-90</v>
      </c>
      <c r="H96" s="2"/>
      <c r="I96" s="102">
        <f>-I95</f>
        <v>-23</v>
      </c>
      <c r="J96" s="105">
        <f>-J95</f>
        <v>-26</v>
      </c>
      <c r="K96" s="105">
        <f>-K95</f>
        <v>-25</v>
      </c>
      <c r="L96" s="105">
        <f>-L95</f>
        <v>-25</v>
      </c>
      <c r="M96" s="104">
        <f>-M95</f>
        <v>-99</v>
      </c>
      <c r="N96" s="2"/>
      <c r="O96" s="102">
        <f>-O95</f>
        <v>-28</v>
      </c>
      <c r="P96" s="105">
        <f>-P95</f>
        <v>-29</v>
      </c>
      <c r="Q96" s="104">
        <f>-Q95</f>
        <v>-57</v>
      </c>
    </row>
    <row r="97" spans="1:17" s="38" customFormat="1" ht="10.8" thickBot="1" x14ac:dyDescent="0.25">
      <c r="A97" s="43" t="s">
        <v>37</v>
      </c>
      <c r="B97" s="35"/>
      <c r="C97" s="44" t="s">
        <v>46</v>
      </c>
      <c r="D97" s="45" t="s">
        <v>46</v>
      </c>
      <c r="E97" s="45" t="s">
        <v>46</v>
      </c>
      <c r="F97" s="45" t="s">
        <v>46</v>
      </c>
      <c r="G97" s="46" t="s">
        <v>46</v>
      </c>
      <c r="I97" s="44" t="s">
        <v>46</v>
      </c>
      <c r="J97" s="45" t="s">
        <v>46</v>
      </c>
      <c r="K97" s="45" t="s">
        <v>46</v>
      </c>
      <c r="L97" s="45" t="s">
        <v>46</v>
      </c>
      <c r="M97" s="46" t="s">
        <v>46</v>
      </c>
      <c r="O97" s="44" t="s">
        <v>46</v>
      </c>
      <c r="P97" s="45" t="s">
        <v>46</v>
      </c>
      <c r="Q97" s="46" t="s">
        <v>46</v>
      </c>
    </row>
    <row r="98" spans="1:17" ht="5.25" customHeight="1" x14ac:dyDescent="0.2">
      <c r="A98" s="2"/>
      <c r="B98" s="106"/>
      <c r="C98" s="106"/>
      <c r="D98" s="106"/>
      <c r="E98" s="106"/>
      <c r="F98" s="106"/>
      <c r="G98" s="106"/>
      <c r="H98" s="2"/>
      <c r="I98" s="106"/>
      <c r="J98" s="106"/>
      <c r="K98" s="106"/>
      <c r="L98" s="106"/>
      <c r="M98" s="106"/>
      <c r="N98" s="2"/>
      <c r="O98" s="127"/>
      <c r="P98" s="127"/>
      <c r="Q98" s="127"/>
    </row>
    <row r="99" spans="1:17" x14ac:dyDescent="0.2">
      <c r="A99" s="128" t="s">
        <v>47</v>
      </c>
      <c r="B99" s="61"/>
      <c r="C99" s="58" t="s">
        <v>48</v>
      </c>
      <c r="D99" s="60"/>
      <c r="E99" s="60"/>
      <c r="F99" s="60"/>
      <c r="G99" s="131" t="s">
        <v>49</v>
      </c>
      <c r="H99" s="2"/>
      <c r="I99" s="58" t="s">
        <v>48</v>
      </c>
      <c r="J99" s="58"/>
      <c r="K99" s="58"/>
      <c r="L99" s="58"/>
      <c r="M99" s="58" t="s">
        <v>49</v>
      </c>
      <c r="N99" s="2"/>
      <c r="O99" s="53" t="s">
        <v>48</v>
      </c>
      <c r="P99" s="146" t="s">
        <v>48</v>
      </c>
      <c r="Q99" s="58" t="s">
        <v>49</v>
      </c>
    </row>
    <row r="100" spans="1:17" x14ac:dyDescent="0.2">
      <c r="A100" s="132" t="s">
        <v>50</v>
      </c>
      <c r="B100" s="133"/>
      <c r="C100" s="136">
        <v>9.74</v>
      </c>
      <c r="D100" s="137">
        <v>9.7200000000000006</v>
      </c>
      <c r="E100" s="137">
        <v>9.85</v>
      </c>
      <c r="F100" s="138">
        <v>10.09</v>
      </c>
      <c r="G100" s="135">
        <f>AVERAGE(C100:F100)</f>
        <v>9.8500000000000014</v>
      </c>
      <c r="H100" s="2"/>
      <c r="I100" s="136">
        <v>10.46</v>
      </c>
      <c r="J100" s="137">
        <v>11.02</v>
      </c>
      <c r="K100" s="137">
        <v>10.67</v>
      </c>
      <c r="L100" s="138">
        <v>10.76</v>
      </c>
      <c r="M100" s="135">
        <v>10.73</v>
      </c>
      <c r="N100" s="2"/>
      <c r="O100" s="136">
        <v>10.26</v>
      </c>
      <c r="P100" s="138">
        <v>10.09</v>
      </c>
      <c r="Q100" s="135">
        <f>(O100+P100)/2</f>
        <v>10.175000000000001</v>
      </c>
    </row>
    <row r="101" spans="1:17" x14ac:dyDescent="0.2">
      <c r="A101" s="139" t="s">
        <v>51</v>
      </c>
      <c r="B101" s="133"/>
      <c r="C101" s="140">
        <v>8.59</v>
      </c>
      <c r="D101" s="145">
        <v>8.65</v>
      </c>
      <c r="E101" s="145">
        <v>8.86</v>
      </c>
      <c r="F101" s="142">
        <v>9.11</v>
      </c>
      <c r="G101" s="141">
        <f>AVERAGE(C101:F101)</f>
        <v>8.8025000000000002</v>
      </c>
      <c r="H101" s="2"/>
      <c r="I101" s="140">
        <v>9.49</v>
      </c>
      <c r="J101" s="145">
        <v>10.02</v>
      </c>
      <c r="K101" s="145">
        <v>9.1300000000000008</v>
      </c>
      <c r="L101" s="142">
        <v>9.02</v>
      </c>
      <c r="M101" s="141">
        <v>9.41</v>
      </c>
      <c r="N101" s="2"/>
      <c r="O101" s="140">
        <v>8.51</v>
      </c>
      <c r="P101" s="142">
        <v>8.3699999999999992</v>
      </c>
      <c r="Q101" s="141">
        <f>(O101+P101)/2</f>
        <v>8.44</v>
      </c>
    </row>
    <row r="102" spans="1:17" ht="5.25" customHeight="1" thickBot="1" x14ac:dyDescent="0.25">
      <c r="A102" s="2"/>
      <c r="B102" s="106"/>
      <c r="C102" s="106"/>
      <c r="D102" s="106"/>
      <c r="E102" s="106"/>
      <c r="F102" s="106"/>
      <c r="G102" s="106"/>
      <c r="H102" s="2"/>
      <c r="I102" s="106"/>
      <c r="J102" s="106"/>
      <c r="K102" s="106"/>
      <c r="L102" s="106"/>
      <c r="M102" s="106"/>
      <c r="N102" s="2"/>
      <c r="O102" s="127"/>
      <c r="P102" s="127"/>
      <c r="Q102" s="127"/>
    </row>
    <row r="103" spans="1:17" ht="19.5" customHeight="1" thickBot="1" x14ac:dyDescent="0.35">
      <c r="A103" s="5" t="s">
        <v>52</v>
      </c>
      <c r="B103" s="61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  <c r="N103" s="2"/>
      <c r="O103" s="8">
        <v>2021</v>
      </c>
      <c r="P103" s="9"/>
      <c r="Q103" s="10"/>
    </row>
    <row r="104" spans="1:17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5" t="s">
        <v>7</v>
      </c>
      <c r="J104" s="156" t="s">
        <v>8</v>
      </c>
      <c r="K104" s="156" t="s">
        <v>9</v>
      </c>
      <c r="L104" s="156" t="s">
        <v>10</v>
      </c>
      <c r="M104" s="157" t="s">
        <v>6</v>
      </c>
      <c r="N104" s="2"/>
      <c r="O104" s="18" t="s">
        <v>11</v>
      </c>
      <c r="P104" s="19" t="s">
        <v>12</v>
      </c>
      <c r="Q104" s="20" t="s">
        <v>6</v>
      </c>
    </row>
    <row r="105" spans="1:17" ht="4.5" customHeight="1" x14ac:dyDescent="0.2">
      <c r="A105" s="30"/>
      <c r="B105" s="88"/>
      <c r="C105" s="89"/>
      <c r="D105" s="91"/>
      <c r="E105" s="91"/>
      <c r="F105" s="91"/>
      <c r="G105" s="90"/>
      <c r="H105" s="2"/>
      <c r="I105" s="63"/>
      <c r="J105" s="65"/>
      <c r="K105" s="65"/>
      <c r="L105" s="65"/>
      <c r="M105" s="64"/>
      <c r="N105" s="2"/>
      <c r="O105" s="63"/>
      <c r="P105" s="65"/>
      <c r="Q105" s="64"/>
    </row>
    <row r="106" spans="1:17" ht="11.25" customHeight="1" x14ac:dyDescent="0.2">
      <c r="A106" s="31" t="s">
        <v>38</v>
      </c>
      <c r="B106" s="88"/>
      <c r="C106" s="93"/>
      <c r="D106" s="96"/>
      <c r="E106" s="96"/>
      <c r="F106" s="96"/>
      <c r="G106" s="94"/>
      <c r="H106" s="95"/>
      <c r="I106" s="93"/>
      <c r="J106" s="96"/>
      <c r="K106" s="96"/>
      <c r="L106" s="96"/>
      <c r="M106" s="94"/>
      <c r="N106" s="2"/>
      <c r="O106" s="93"/>
      <c r="P106" s="96"/>
      <c r="Q106" s="94"/>
    </row>
    <row r="107" spans="1:17" ht="11.25" customHeight="1" x14ac:dyDescent="0.2">
      <c r="A107" s="30" t="s">
        <v>53</v>
      </c>
      <c r="B107" s="88"/>
      <c r="C107" s="97">
        <v>607.61400000000003</v>
      </c>
      <c r="D107" s="100">
        <v>579.46199999999999</v>
      </c>
      <c r="E107" s="100">
        <v>549.45000000000005</v>
      </c>
      <c r="F107" s="100">
        <v>563.99199999999996</v>
      </c>
      <c r="G107" s="98"/>
      <c r="H107" s="59"/>
      <c r="I107" s="97">
        <v>702.11</v>
      </c>
      <c r="J107" s="100">
        <v>694.96699999999998</v>
      </c>
      <c r="K107" s="100">
        <v>626.04</v>
      </c>
      <c r="L107" s="100">
        <v>552</v>
      </c>
      <c r="M107" s="98"/>
      <c r="N107" s="2"/>
      <c r="O107" s="97">
        <v>732</v>
      </c>
      <c r="P107" s="100">
        <f>80.8*10.1717</f>
        <v>821.87335999999993</v>
      </c>
      <c r="Q107" s="98"/>
    </row>
    <row r="108" spans="1:17" ht="11.25" customHeight="1" x14ac:dyDescent="0.2">
      <c r="A108" s="30" t="s">
        <v>54</v>
      </c>
      <c r="B108" s="88"/>
      <c r="C108" s="97">
        <v>467</v>
      </c>
      <c r="D108" s="100">
        <v>397.84799999999996</v>
      </c>
      <c r="E108" s="100">
        <v>389.98800000000006</v>
      </c>
      <c r="F108" s="100">
        <v>427.54199999999992</v>
      </c>
      <c r="G108" s="98">
        <f>SUM(C108:F108)</f>
        <v>1682.3779999999999</v>
      </c>
      <c r="H108" s="2"/>
      <c r="I108" s="97">
        <v>623.11800000000005</v>
      </c>
      <c r="J108" s="100">
        <v>346.85699999999997</v>
      </c>
      <c r="K108" s="100">
        <v>348.07299999999998</v>
      </c>
      <c r="L108" s="100">
        <v>364</v>
      </c>
      <c r="M108" s="98">
        <f t="shared" ref="M108:M109" si="23">SUM(I108:L108)</f>
        <v>1682.048</v>
      </c>
      <c r="N108" s="2"/>
      <c r="O108" s="97">
        <v>498</v>
      </c>
      <c r="P108" s="100">
        <f>P107-O107+P109</f>
        <v>528.87335999999993</v>
      </c>
      <c r="Q108" s="98">
        <f>SUM(O108:P108)</f>
        <v>1026.87336</v>
      </c>
    </row>
    <row r="109" spans="1:17" ht="11.25" customHeight="1" x14ac:dyDescent="0.2">
      <c r="A109" s="30" t="s">
        <v>55</v>
      </c>
      <c r="B109" s="61"/>
      <c r="C109" s="92">
        <v>432</v>
      </c>
      <c r="D109" s="84">
        <v>426</v>
      </c>
      <c r="E109" s="84">
        <v>421</v>
      </c>
      <c r="F109" s="84">
        <v>413</v>
      </c>
      <c r="G109" s="98">
        <f>SUM(C109:F109)</f>
        <v>1692</v>
      </c>
      <c r="H109" s="2"/>
      <c r="I109" s="92">
        <v>485</v>
      </c>
      <c r="J109" s="84">
        <v>354</v>
      </c>
      <c r="K109" s="84">
        <v>417</v>
      </c>
      <c r="L109" s="84">
        <v>438</v>
      </c>
      <c r="M109" s="98">
        <f t="shared" si="23"/>
        <v>1694</v>
      </c>
      <c r="N109" s="2"/>
      <c r="O109" s="92">
        <v>318</v>
      </c>
      <c r="P109" s="161">
        <f>P64</f>
        <v>439</v>
      </c>
      <c r="Q109" s="74">
        <f>SUM(O109:P109)</f>
        <v>757</v>
      </c>
    </row>
    <row r="110" spans="1:17" ht="5.25" customHeight="1" x14ac:dyDescent="0.2">
      <c r="A110" s="30"/>
      <c r="B110" s="61"/>
      <c r="C110" s="92"/>
      <c r="D110" s="84"/>
      <c r="E110" s="84"/>
      <c r="F110" s="84"/>
      <c r="G110" s="74"/>
      <c r="H110" s="2"/>
      <c r="I110" s="92"/>
      <c r="J110" s="84"/>
      <c r="K110" s="84"/>
      <c r="L110" s="84"/>
      <c r="M110" s="74"/>
      <c r="N110" s="2"/>
      <c r="O110" s="92"/>
      <c r="P110" s="84"/>
      <c r="Q110" s="74"/>
    </row>
    <row r="111" spans="1:17" ht="11.25" customHeight="1" x14ac:dyDescent="0.2">
      <c r="A111" s="31" t="s">
        <v>44</v>
      </c>
      <c r="B111" s="88"/>
      <c r="C111" s="93"/>
      <c r="D111" s="96"/>
      <c r="E111" s="96"/>
      <c r="F111" s="96"/>
      <c r="G111" s="94"/>
      <c r="H111" s="95"/>
      <c r="I111" s="93"/>
      <c r="J111" s="96"/>
      <c r="K111" s="96"/>
      <c r="L111" s="96"/>
      <c r="M111" s="94"/>
      <c r="N111" s="2"/>
      <c r="O111" s="93"/>
      <c r="P111" s="96"/>
      <c r="Q111" s="94"/>
    </row>
    <row r="112" spans="1:17" ht="11.25" customHeight="1" x14ac:dyDescent="0.2">
      <c r="A112" s="30" t="s">
        <v>53</v>
      </c>
      <c r="B112" s="88"/>
      <c r="C112" s="97">
        <v>856.35900000000004</v>
      </c>
      <c r="D112" s="100">
        <v>765.51</v>
      </c>
      <c r="E112" s="100">
        <v>880.50599999999997</v>
      </c>
      <c r="F112" s="100">
        <v>894.00619999999992</v>
      </c>
      <c r="G112" s="98"/>
      <c r="H112" s="59"/>
      <c r="I112" s="97">
        <v>1212.86625</v>
      </c>
      <c r="J112" s="100">
        <v>1051.01485</v>
      </c>
      <c r="K112" s="100">
        <v>930.95699999999999</v>
      </c>
      <c r="L112" s="100">
        <v>918</v>
      </c>
      <c r="M112" s="98"/>
      <c r="N112" s="2"/>
      <c r="O112" s="97">
        <v>1196</v>
      </c>
      <c r="P112" s="100">
        <f>119*10.1717</f>
        <v>1210.4322999999999</v>
      </c>
      <c r="Q112" s="98"/>
    </row>
    <row r="113" spans="1:17" ht="11.25" customHeight="1" x14ac:dyDescent="0.2">
      <c r="A113" s="30" t="s">
        <v>54</v>
      </c>
      <c r="B113" s="88"/>
      <c r="C113" s="97">
        <v>637</v>
      </c>
      <c r="D113" s="100">
        <v>713.15099999999995</v>
      </c>
      <c r="E113" s="100">
        <v>833.99599999999998</v>
      </c>
      <c r="F113" s="100">
        <v>904.50019999999995</v>
      </c>
      <c r="G113" s="98">
        <f>SUM(C113:F113)</f>
        <v>3088.6471999999999</v>
      </c>
      <c r="H113" s="2"/>
      <c r="I113" s="97">
        <v>967.86005000000011</v>
      </c>
      <c r="J113" s="100">
        <v>748.14859999999999</v>
      </c>
      <c r="K113" s="100">
        <v>753.94214999999997</v>
      </c>
      <c r="L113" s="100">
        <v>865</v>
      </c>
      <c r="M113" s="98">
        <f t="shared" ref="M113:M114" si="24">SUM(I113:L113)</f>
        <v>3334.9508000000001</v>
      </c>
      <c r="N113" s="2"/>
      <c r="O113" s="97">
        <v>887</v>
      </c>
      <c r="P113" s="100">
        <f>P112-O112+P114</f>
        <v>881.43229999999994</v>
      </c>
      <c r="Q113" s="98">
        <f>SUM(O113:P113)</f>
        <v>1768.4322999999999</v>
      </c>
    </row>
    <row r="114" spans="1:17" ht="11.25" customHeight="1" thickBot="1" x14ac:dyDescent="0.25">
      <c r="A114" s="153" t="s">
        <v>55</v>
      </c>
      <c r="B114" s="61"/>
      <c r="C114" s="158">
        <v>607</v>
      </c>
      <c r="D114" s="159">
        <v>804</v>
      </c>
      <c r="E114" s="159">
        <v>719</v>
      </c>
      <c r="F114" s="159">
        <v>891</v>
      </c>
      <c r="G114" s="154">
        <f>SUM(C114:F114)</f>
        <v>3021</v>
      </c>
      <c r="H114" s="2"/>
      <c r="I114" s="158">
        <v>649</v>
      </c>
      <c r="J114" s="159">
        <v>910</v>
      </c>
      <c r="K114" s="159">
        <v>874</v>
      </c>
      <c r="L114" s="159">
        <v>878</v>
      </c>
      <c r="M114" s="154">
        <f t="shared" si="24"/>
        <v>3311</v>
      </c>
      <c r="N114" s="2"/>
      <c r="O114" s="158">
        <v>609</v>
      </c>
      <c r="P114" s="162">
        <f>P81</f>
        <v>867</v>
      </c>
      <c r="Q114" s="160">
        <f>SUM(O114:P114)</f>
        <v>1476</v>
      </c>
    </row>
    <row r="115" spans="1:17" ht="2.25" customHeight="1" x14ac:dyDescent="0.2">
      <c r="A115" s="2"/>
      <c r="B115" s="6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1.25" customHeight="1" x14ac:dyDescent="0.2">
      <c r="A116" s="2" t="s">
        <v>56</v>
      </c>
      <c r="B116" s="61"/>
      <c r="C116" s="59">
        <f>C109/(C107-C108+C109)</f>
        <v>0.75443492474860896</v>
      </c>
      <c r="D116" s="59">
        <f>D109/C107</f>
        <v>0.7011030028932842</v>
      </c>
      <c r="E116" s="59">
        <f t="shared" ref="E116:F116" si="25">E109/D107</f>
        <v>0.72653599373211708</v>
      </c>
      <c r="F116" s="59">
        <f t="shared" si="25"/>
        <v>0.75166075166075164</v>
      </c>
      <c r="G116" s="59"/>
      <c r="H116" s="2"/>
      <c r="I116" s="59">
        <f>I109/F107</f>
        <v>0.85994127576277679</v>
      </c>
      <c r="J116" s="59">
        <f>J109/I107</f>
        <v>0.50419449943741013</v>
      </c>
      <c r="K116" s="59">
        <f t="shared" ref="K116:L116" si="26">K109/J107</f>
        <v>0.60002849056142238</v>
      </c>
      <c r="L116" s="59">
        <f t="shared" si="26"/>
        <v>0.69963580601878483</v>
      </c>
      <c r="M116" s="2"/>
      <c r="N116" s="2"/>
      <c r="O116" s="59">
        <f>O109/L107</f>
        <v>0.57608695652173914</v>
      </c>
      <c r="P116" s="59">
        <f>P109/O107</f>
        <v>0.59972677595628421</v>
      </c>
      <c r="Q116" s="59"/>
    </row>
    <row r="117" spans="1:17" ht="11.25" customHeight="1" x14ac:dyDescent="0.2">
      <c r="A117" s="2" t="s">
        <v>57</v>
      </c>
      <c r="B117" s="61"/>
      <c r="C117" s="59">
        <f>C114/(C112-C113+C114)</f>
        <v>0.73454757556945582</v>
      </c>
      <c r="D117" s="59">
        <f>D114/C112</f>
        <v>0.93885858617705886</v>
      </c>
      <c r="E117" s="59">
        <f t="shared" ref="E117:F117" si="27">E114/D112</f>
        <v>0.93924311896644064</v>
      </c>
      <c r="F117" s="59">
        <f t="shared" si="27"/>
        <v>1.0119181470654375</v>
      </c>
      <c r="G117" s="2"/>
      <c r="H117" s="2"/>
      <c r="I117" s="59">
        <f>I114/F112</f>
        <v>0.72594574847467508</v>
      </c>
      <c r="J117" s="59">
        <f>J114/I112</f>
        <v>0.75028883028116244</v>
      </c>
      <c r="K117" s="59">
        <f t="shared" ref="K117" si="28">K114/J112</f>
        <v>0.83157721320493239</v>
      </c>
      <c r="L117" s="59">
        <f>L114/K112</f>
        <v>0.94311552520685704</v>
      </c>
      <c r="M117" s="2"/>
      <c r="N117" s="2"/>
      <c r="O117" s="59">
        <f>O114/L112</f>
        <v>0.66339869281045749</v>
      </c>
      <c r="P117" s="59">
        <f>P114/O112</f>
        <v>0.72491638795986624</v>
      </c>
      <c r="Q117" s="59"/>
    </row>
    <row r="118" spans="1:17" x14ac:dyDescent="0.2">
      <c r="A118" s="2"/>
      <c r="B118" s="6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09"/>
  <sheetViews>
    <sheetView showGridLines="0" topLeftCell="A69" zoomScale="110" zoomScaleNormal="110" workbookViewId="0">
      <pane xSplit="1" topLeftCell="BB1" activePane="topRight" state="frozen"/>
      <selection activeCell="AZ56" sqref="AZ56"/>
      <selection pane="topRight" activeCell="A97" sqref="A97"/>
    </sheetView>
  </sheetViews>
  <sheetFormatPr defaultColWidth="9.109375" defaultRowHeight="10.199999999999999" x14ac:dyDescent="0.2"/>
  <cols>
    <col min="1" max="1" width="23.33203125" style="7" customWidth="1"/>
    <col min="2" max="2" width="1.44140625" style="6" hidden="1" customWidth="1"/>
    <col min="3" max="7" width="6.44140625" style="7" hidden="1" customWidth="1"/>
    <col min="8" max="8" width="1.88671875" style="7" hidden="1" customWidth="1"/>
    <col min="9" max="11" width="6.44140625" style="7" hidden="1" customWidth="1"/>
    <col min="12" max="12" width="6.6640625" style="7" hidden="1" customWidth="1"/>
    <col min="13" max="13" width="6.44140625" style="7" hidden="1" customWidth="1"/>
    <col min="14" max="14" width="0.88671875" style="7" hidden="1" customWidth="1"/>
    <col min="15" max="17" width="6.44140625" style="7" hidden="1" customWidth="1"/>
    <col min="18" max="18" width="7" style="7" hidden="1" customWidth="1"/>
    <col min="19" max="19" width="6.44140625" style="7" hidden="1" customWidth="1"/>
    <col min="20" max="20" width="3.109375" style="7" hidden="1" customWidth="1"/>
    <col min="21" max="22" width="6.44140625" style="7" hidden="1" customWidth="1"/>
    <col min="23" max="23" width="7" style="7" hidden="1" customWidth="1"/>
    <col min="24" max="25" width="6.44140625" style="7" hidden="1" customWidth="1"/>
    <col min="26" max="26" width="0.88671875" style="7" hidden="1" customWidth="1"/>
    <col min="27" max="31" width="6.44140625" style="7" hidden="1" customWidth="1"/>
    <col min="32" max="32" width="0.88671875" style="7" hidden="1" customWidth="1"/>
    <col min="33" max="37" width="6.44140625" style="7" hidden="1" customWidth="1"/>
    <col min="38" max="38" width="0.88671875" style="7" hidden="1" customWidth="1"/>
    <col min="39" max="41" width="6.44140625" style="7" hidden="1" customWidth="1"/>
    <col min="42" max="42" width="6.6640625" style="7" hidden="1" customWidth="1"/>
    <col min="43" max="43" width="6.44140625" style="7" hidden="1" customWidth="1"/>
    <col min="44" max="44" width="0.88671875" style="7" hidden="1" customWidth="1"/>
    <col min="45" max="49" width="6.44140625" style="7" hidden="1" customWidth="1"/>
    <col min="50" max="50" width="0.88671875" style="7" hidden="1" customWidth="1"/>
    <col min="51" max="51" width="6.44140625" style="7" customWidth="1"/>
    <col min="52" max="55" width="6.44140625" style="7" bestFit="1" customWidth="1"/>
    <col min="56" max="56" width="1.109375" style="7" customWidth="1"/>
    <col min="57" max="57" width="6.44140625" style="7" bestFit="1" customWidth="1"/>
    <col min="58" max="61" width="6.88671875" style="7" customWidth="1"/>
    <col min="62" max="62" width="0.88671875" style="7" customWidth="1"/>
    <col min="63" max="67" width="6.88671875" style="7" customWidth="1"/>
    <col min="68" max="68" width="0.88671875" style="12" customWidth="1"/>
    <col min="69" max="73" width="6.88671875" style="7" customWidth="1"/>
    <col min="74" max="74" width="0.88671875" style="7" customWidth="1"/>
    <col min="75" max="79" width="6.88671875" style="7" customWidth="1"/>
    <col min="80" max="80" width="1" style="7" customWidth="1"/>
    <col min="81" max="85" width="6.88671875" style="7" customWidth="1"/>
    <col min="86" max="89" width="6.44140625" style="7" customWidth="1"/>
    <col min="90" max="16384" width="9.109375" style="7"/>
  </cols>
  <sheetData>
    <row r="1" spans="1:86" ht="16.2" thickBot="1" x14ac:dyDescent="0.35">
      <c r="A1" s="5" t="s">
        <v>0</v>
      </c>
      <c r="B1" s="61"/>
      <c r="C1" s="165">
        <v>2007</v>
      </c>
      <c r="D1" s="166"/>
      <c r="E1" s="166"/>
      <c r="F1" s="166"/>
      <c r="G1" s="167"/>
      <c r="H1" s="2"/>
      <c r="I1" s="165">
        <v>2008</v>
      </c>
      <c r="J1" s="166"/>
      <c r="K1" s="166"/>
      <c r="L1" s="166"/>
      <c r="M1" s="167"/>
      <c r="N1" s="2"/>
      <c r="O1" s="165">
        <v>2009</v>
      </c>
      <c r="P1" s="166"/>
      <c r="Q1" s="166"/>
      <c r="R1" s="166"/>
      <c r="S1" s="167"/>
      <c r="T1" s="2"/>
      <c r="U1" s="8"/>
      <c r="V1" s="9">
        <v>2010</v>
      </c>
      <c r="W1" s="9"/>
      <c r="X1" s="9"/>
      <c r="Y1" s="10" t="s">
        <v>58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2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  <c r="CH1" s="2"/>
    </row>
    <row r="2" spans="1:86" ht="10.8" thickBot="1" x14ac:dyDescent="0.25">
      <c r="A2" s="13" t="s">
        <v>1</v>
      </c>
      <c r="B2" s="14"/>
      <c r="C2" s="15" t="s">
        <v>59</v>
      </c>
      <c r="D2" s="16" t="s">
        <v>60</v>
      </c>
      <c r="E2" s="16" t="s">
        <v>61</v>
      </c>
      <c r="F2" s="16" t="s">
        <v>62</v>
      </c>
      <c r="G2" s="17" t="s">
        <v>6</v>
      </c>
      <c r="H2" s="2"/>
      <c r="I2" s="15" t="s">
        <v>63</v>
      </c>
      <c r="J2" s="16" t="s">
        <v>64</v>
      </c>
      <c r="K2" s="16" t="s">
        <v>65</v>
      </c>
      <c r="L2" s="16" t="s">
        <v>66</v>
      </c>
      <c r="M2" s="17" t="s">
        <v>6</v>
      </c>
      <c r="N2" s="2"/>
      <c r="O2" s="18" t="s">
        <v>67</v>
      </c>
      <c r="P2" s="19" t="s">
        <v>68</v>
      </c>
      <c r="Q2" s="16" t="s">
        <v>69</v>
      </c>
      <c r="R2" s="16" t="s">
        <v>70</v>
      </c>
      <c r="S2" s="17" t="s">
        <v>6</v>
      </c>
      <c r="T2" s="2"/>
      <c r="U2" s="18" t="s">
        <v>71</v>
      </c>
      <c r="V2" s="19" t="s">
        <v>72</v>
      </c>
      <c r="W2" s="19" t="s">
        <v>73</v>
      </c>
      <c r="X2" s="19" t="s">
        <v>74</v>
      </c>
      <c r="Y2" s="20" t="s">
        <v>6</v>
      </c>
      <c r="Z2" s="2"/>
      <c r="AA2" s="18" t="s">
        <v>75</v>
      </c>
      <c r="AB2" s="19" t="s">
        <v>76</v>
      </c>
      <c r="AC2" s="19" t="s">
        <v>77</v>
      </c>
      <c r="AD2" s="19" t="s">
        <v>78</v>
      </c>
      <c r="AE2" s="20" t="s">
        <v>6</v>
      </c>
      <c r="AF2" s="2"/>
      <c r="AG2" s="18" t="s">
        <v>79</v>
      </c>
      <c r="AH2" s="19" t="s">
        <v>80</v>
      </c>
      <c r="AI2" s="19" t="s">
        <v>81</v>
      </c>
      <c r="AJ2" s="19" t="s">
        <v>82</v>
      </c>
      <c r="AK2" s="20" t="s">
        <v>6</v>
      </c>
      <c r="AL2" s="2"/>
      <c r="AM2" s="18" t="s">
        <v>83</v>
      </c>
      <c r="AN2" s="19" t="s">
        <v>84</v>
      </c>
      <c r="AO2" s="19" t="s">
        <v>85</v>
      </c>
      <c r="AP2" s="19" t="s">
        <v>86</v>
      </c>
      <c r="AQ2" s="20" t="s">
        <v>6</v>
      </c>
      <c r="AR2" s="2"/>
      <c r="AS2" s="18" t="s">
        <v>87</v>
      </c>
      <c r="AT2" s="19" t="s">
        <v>88</v>
      </c>
      <c r="AU2" s="19" t="s">
        <v>89</v>
      </c>
      <c r="AV2" s="19" t="s">
        <v>90</v>
      </c>
      <c r="AW2" s="20" t="s">
        <v>6</v>
      </c>
      <c r="AX2" s="2"/>
      <c r="AY2" s="18" t="s">
        <v>91</v>
      </c>
      <c r="AZ2" s="19" t="s">
        <v>92</v>
      </c>
      <c r="BA2" s="19" t="s">
        <v>93</v>
      </c>
      <c r="BB2" s="19" t="s">
        <v>94</v>
      </c>
      <c r="BC2" s="20" t="s">
        <v>6</v>
      </c>
      <c r="BD2" s="2"/>
      <c r="BE2" s="18" t="s">
        <v>95</v>
      </c>
      <c r="BF2" s="19" t="s">
        <v>96</v>
      </c>
      <c r="BG2" s="19" t="s">
        <v>97</v>
      </c>
      <c r="BH2" s="19" t="s">
        <v>98</v>
      </c>
      <c r="BI2" s="20" t="s">
        <v>6</v>
      </c>
      <c r="BJ2" s="2"/>
      <c r="BK2" s="18" t="s">
        <v>99</v>
      </c>
      <c r="BL2" s="19" t="s">
        <v>100</v>
      </c>
      <c r="BM2" s="19" t="s">
        <v>101</v>
      </c>
      <c r="BN2" s="19" t="s">
        <v>102</v>
      </c>
      <c r="BO2" s="20" t="s">
        <v>6</v>
      </c>
      <c r="BP2" s="62"/>
      <c r="BQ2" s="18" t="s">
        <v>103</v>
      </c>
      <c r="BR2" s="19" t="s">
        <v>104</v>
      </c>
      <c r="BS2" s="19" t="s">
        <v>105</v>
      </c>
      <c r="BT2" s="19" t="s">
        <v>106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  <c r="CH2" s="2"/>
    </row>
    <row r="3" spans="1:86" ht="5.25" customHeight="1" x14ac:dyDescent="0.2">
      <c r="A3" s="30"/>
      <c r="B3" s="61"/>
      <c r="C3" s="63"/>
      <c r="D3" s="2"/>
      <c r="E3" s="2"/>
      <c r="F3" s="2"/>
      <c r="G3" s="64"/>
      <c r="H3" s="2"/>
      <c r="I3" s="63"/>
      <c r="J3" s="2"/>
      <c r="K3" s="2"/>
      <c r="L3" s="2"/>
      <c r="M3" s="64"/>
      <c r="N3" s="2"/>
      <c r="O3" s="63"/>
      <c r="P3" s="2"/>
      <c r="Q3" s="2"/>
      <c r="R3" s="2"/>
      <c r="S3" s="64"/>
      <c r="T3" s="2"/>
      <c r="U3" s="63"/>
      <c r="V3" s="65"/>
      <c r="W3" s="65"/>
      <c r="X3" s="65"/>
      <c r="Y3" s="64"/>
      <c r="Z3" s="2"/>
      <c r="AA3" s="63"/>
      <c r="AB3" s="65"/>
      <c r="AC3" s="65"/>
      <c r="AD3" s="65"/>
      <c r="AE3" s="64"/>
      <c r="AF3" s="2"/>
      <c r="AG3" s="63"/>
      <c r="AH3" s="65"/>
      <c r="AI3" s="65"/>
      <c r="AJ3" s="65"/>
      <c r="AK3" s="64"/>
      <c r="AL3" s="2"/>
      <c r="AM3" s="63"/>
      <c r="AN3" s="65"/>
      <c r="AO3" s="65"/>
      <c r="AP3" s="65"/>
      <c r="AQ3" s="64"/>
      <c r="AR3" s="2"/>
      <c r="AS3" s="63"/>
      <c r="AT3" s="65"/>
      <c r="AU3" s="65"/>
      <c r="AV3" s="65"/>
      <c r="AW3" s="64"/>
      <c r="AX3" s="2"/>
      <c r="AY3" s="63"/>
      <c r="AZ3" s="65"/>
      <c r="BA3" s="65"/>
      <c r="BB3" s="65"/>
      <c r="BC3" s="64"/>
      <c r="BD3" s="2"/>
      <c r="BE3" s="63"/>
      <c r="BF3" s="65"/>
      <c r="BG3" s="65"/>
      <c r="BH3" s="65"/>
      <c r="BI3" s="64"/>
      <c r="BJ3" s="2"/>
      <c r="BK3" s="63"/>
      <c r="BL3" s="65"/>
      <c r="BM3" s="65"/>
      <c r="BN3" s="65"/>
      <c r="BO3" s="64"/>
      <c r="BP3" s="62"/>
      <c r="BQ3" s="63"/>
      <c r="BR3" s="65"/>
      <c r="BS3" s="65"/>
      <c r="BT3" s="65"/>
      <c r="BU3" s="64"/>
      <c r="BV3" s="2"/>
      <c r="BW3" s="63"/>
      <c r="BX3" s="65"/>
      <c r="BY3" s="65"/>
      <c r="BZ3" s="65"/>
      <c r="CA3" s="64"/>
      <c r="CB3" s="2"/>
      <c r="CC3" s="63"/>
      <c r="CD3" s="65"/>
      <c r="CE3" s="65"/>
      <c r="CF3" s="65"/>
      <c r="CG3" s="64"/>
      <c r="CH3" s="2"/>
    </row>
    <row r="4" spans="1:86" s="33" customFormat="1" ht="12" customHeight="1" x14ac:dyDescent="0.2">
      <c r="A4" s="66" t="s">
        <v>13</v>
      </c>
      <c r="B4" s="67"/>
      <c r="C4" s="68">
        <v>594.9</v>
      </c>
      <c r="D4" s="69">
        <v>662.1</v>
      </c>
      <c r="E4" s="69">
        <v>639.29999999999995</v>
      </c>
      <c r="F4" s="69">
        <v>729.2</v>
      </c>
      <c r="G4" s="70">
        <v>2625.5</v>
      </c>
      <c r="H4" s="34"/>
      <c r="I4" s="68">
        <v>601.70000000000005</v>
      </c>
      <c r="J4" s="69">
        <v>663.9</v>
      </c>
      <c r="K4" s="69">
        <v>652.9</v>
      </c>
      <c r="L4" s="69">
        <v>859.40000000000009</v>
      </c>
      <c r="M4" s="70">
        <v>2777.9</v>
      </c>
      <c r="N4" s="34"/>
      <c r="O4" s="68">
        <v>605.4</v>
      </c>
      <c r="P4" s="69">
        <v>671.1</v>
      </c>
      <c r="Q4" s="69">
        <v>713.6</v>
      </c>
      <c r="R4" s="69">
        <v>751.2</v>
      </c>
      <c r="S4" s="70">
        <v>2741.3</v>
      </c>
      <c r="T4" s="34"/>
      <c r="U4" s="68">
        <v>587.29999999999995</v>
      </c>
      <c r="V4" s="69">
        <v>721.5</v>
      </c>
      <c r="W4" s="69">
        <v>782.8</v>
      </c>
      <c r="X4" s="69">
        <v>785.6</v>
      </c>
      <c r="Y4" s="70">
        <v>2877.2</v>
      </c>
      <c r="Z4" s="34"/>
      <c r="AA4" s="68">
        <v>746</v>
      </c>
      <c r="AB4" s="69">
        <v>904.90000000000009</v>
      </c>
      <c r="AC4" s="69">
        <v>979</v>
      </c>
      <c r="AD4" s="69">
        <v>885.90000000000009</v>
      </c>
      <c r="AE4" s="70">
        <v>3515.8</v>
      </c>
      <c r="AF4" s="34"/>
      <c r="AG4" s="68">
        <v>797.9</v>
      </c>
      <c r="AH4" s="69">
        <v>905.6</v>
      </c>
      <c r="AI4" s="69">
        <v>1060.5999999999999</v>
      </c>
      <c r="AJ4" s="69">
        <v>1143</v>
      </c>
      <c r="AK4" s="70">
        <v>3907.1</v>
      </c>
      <c r="AL4" s="34"/>
      <c r="AM4" s="68">
        <v>932.9</v>
      </c>
      <c r="AN4" s="69">
        <v>1129.2</v>
      </c>
      <c r="AO4" s="69">
        <v>1189.7</v>
      </c>
      <c r="AP4" s="69">
        <v>1169.2</v>
      </c>
      <c r="AQ4" s="70">
        <v>4421</v>
      </c>
      <c r="AR4" s="34"/>
      <c r="AS4" s="68">
        <v>1021.8</v>
      </c>
      <c r="AT4" s="69">
        <v>1138.8999999999999</v>
      </c>
      <c r="AU4" s="69">
        <v>1187.8</v>
      </c>
      <c r="AV4" s="69">
        <v>1400.5</v>
      </c>
      <c r="AW4" s="70">
        <v>4749</v>
      </c>
      <c r="AX4" s="34"/>
      <c r="AY4" s="68">
        <v>1106.9000000000001</v>
      </c>
      <c r="AZ4" s="69">
        <v>1472</v>
      </c>
      <c r="BA4" s="69">
        <v>1748.4</v>
      </c>
      <c r="BB4" s="69">
        <v>1815.6</v>
      </c>
      <c r="BC4" s="70">
        <v>6142.9</v>
      </c>
      <c r="BD4" s="34"/>
      <c r="BE4" s="68">
        <v>1359.5</v>
      </c>
      <c r="BF4" s="69">
        <v>1769.9</v>
      </c>
      <c r="BG4" s="69">
        <v>1714.6</v>
      </c>
      <c r="BH4" s="69">
        <v>1765.8999999999996</v>
      </c>
      <c r="BI4" s="70">
        <v>6609.9</v>
      </c>
      <c r="BJ4" s="34"/>
      <c r="BK4" s="68">
        <v>1563.7</v>
      </c>
      <c r="BL4" s="69">
        <v>1972</v>
      </c>
      <c r="BM4" s="69">
        <v>1855.4</v>
      </c>
      <c r="BN4" s="69">
        <v>2041.0000000000007</v>
      </c>
      <c r="BO4" s="70">
        <v>7432.1</v>
      </c>
      <c r="BP4" s="34"/>
      <c r="BQ4" s="68">
        <v>1754.2</v>
      </c>
      <c r="BR4" s="69">
        <v>2127.5</v>
      </c>
      <c r="BS4" s="69">
        <v>2246.9</v>
      </c>
      <c r="BT4" s="69">
        <v>2467.2000000000016</v>
      </c>
      <c r="BU4" s="70">
        <v>8595.8000000000011</v>
      </c>
      <c r="BV4" s="34"/>
      <c r="BW4" s="68">
        <v>2080.5</v>
      </c>
      <c r="BX4" s="71">
        <v>2318.6999999999998</v>
      </c>
      <c r="BY4" s="71">
        <v>2378.1999999999998</v>
      </c>
      <c r="BZ4" s="71">
        <f>CA4-BY4-BX4-BW4</f>
        <v>2568.8999999999996</v>
      </c>
      <c r="CA4" s="70">
        <v>9346.2999999999993</v>
      </c>
      <c r="CB4" s="34"/>
      <c r="CC4" s="68">
        <v>2302</v>
      </c>
      <c r="CD4" s="71">
        <v>2319.1999999999998</v>
      </c>
      <c r="CE4" s="71">
        <v>2578.1999999999998</v>
      </c>
      <c r="CF4" s="71">
        <f>CG4-CE4-CD4-CC4</f>
        <v>2741.8999999999996</v>
      </c>
      <c r="CG4" s="70">
        <v>9941.2999999999993</v>
      </c>
      <c r="CH4" s="34"/>
    </row>
    <row r="5" spans="1:86" x14ac:dyDescent="0.2">
      <c r="A5" s="32" t="s">
        <v>14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2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2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2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  <c r="CH5" s="2"/>
    </row>
    <row r="6" spans="1:86" ht="5.25" customHeight="1" x14ac:dyDescent="0.2">
      <c r="A6" s="31"/>
      <c r="B6" s="72"/>
      <c r="C6" s="73"/>
      <c r="D6" s="72"/>
      <c r="E6" s="72"/>
      <c r="F6" s="72"/>
      <c r="G6" s="74"/>
      <c r="H6" s="2"/>
      <c r="I6" s="73"/>
      <c r="J6" s="72"/>
      <c r="K6" s="72"/>
      <c r="L6" s="72"/>
      <c r="M6" s="74"/>
      <c r="N6" s="2"/>
      <c r="O6" s="73"/>
      <c r="P6" s="72"/>
      <c r="Q6" s="72"/>
      <c r="R6" s="72"/>
      <c r="S6" s="74"/>
      <c r="T6" s="2"/>
      <c r="U6" s="73"/>
      <c r="V6" s="72"/>
      <c r="W6" s="72"/>
      <c r="X6" s="72"/>
      <c r="Y6" s="74"/>
      <c r="Z6" s="2"/>
      <c r="AA6" s="73"/>
      <c r="AB6" s="72"/>
      <c r="AC6" s="72"/>
      <c r="AD6" s="72"/>
      <c r="AE6" s="74"/>
      <c r="AF6" s="2"/>
      <c r="AG6" s="73"/>
      <c r="AH6" s="72"/>
      <c r="AI6" s="72"/>
      <c r="AJ6" s="72"/>
      <c r="AK6" s="74"/>
      <c r="AL6" s="2"/>
      <c r="AM6" s="73"/>
      <c r="AN6" s="72"/>
      <c r="AO6" s="72"/>
      <c r="AP6" s="72"/>
      <c r="AQ6" s="74"/>
      <c r="AR6" s="2"/>
      <c r="AS6" s="73"/>
      <c r="AT6" s="72"/>
      <c r="AU6" s="72"/>
      <c r="AV6" s="72"/>
      <c r="AW6" s="74"/>
      <c r="AX6" s="2"/>
      <c r="AY6" s="73"/>
      <c r="AZ6" s="72"/>
      <c r="BA6" s="72"/>
      <c r="BB6" s="72"/>
      <c r="BC6" s="74"/>
      <c r="BD6" s="2"/>
      <c r="BE6" s="73"/>
      <c r="BF6" s="72"/>
      <c r="BG6" s="72"/>
      <c r="BH6" s="72"/>
      <c r="BI6" s="74"/>
      <c r="BJ6" s="2"/>
      <c r="BK6" s="73"/>
      <c r="BL6" s="72"/>
      <c r="BM6" s="72"/>
      <c r="BN6" s="72"/>
      <c r="BO6" s="75"/>
      <c r="BP6" s="62"/>
      <c r="BQ6" s="73"/>
      <c r="BR6" s="72"/>
      <c r="BS6" s="72"/>
      <c r="BT6" s="72"/>
      <c r="BU6" s="75"/>
      <c r="BV6" s="62"/>
      <c r="BW6" s="73"/>
      <c r="BX6" s="76"/>
      <c r="BY6" s="76"/>
      <c r="BZ6" s="76"/>
      <c r="CA6" s="75"/>
      <c r="CB6" s="62"/>
      <c r="CC6" s="73"/>
      <c r="CD6" s="76"/>
      <c r="CE6" s="76"/>
      <c r="CF6" s="76"/>
      <c r="CG6" s="75"/>
      <c r="CH6" s="2"/>
    </row>
    <row r="7" spans="1:86" s="33" customFormat="1" ht="11.25" customHeight="1" x14ac:dyDescent="0.2">
      <c r="A7" s="77" t="s">
        <v>15</v>
      </c>
      <c r="B7" s="67"/>
      <c r="C7" s="78">
        <v>349.745</v>
      </c>
      <c r="D7" s="67">
        <v>381.84500000000003</v>
      </c>
      <c r="E7" s="67">
        <v>359.245</v>
      </c>
      <c r="F7" s="67">
        <v>422.34500000000003</v>
      </c>
      <c r="G7" s="56">
        <v>1513.18</v>
      </c>
      <c r="H7" s="34"/>
      <c r="I7" s="78">
        <v>335.72500000000002</v>
      </c>
      <c r="J7" s="67">
        <v>357.625</v>
      </c>
      <c r="K7" s="67">
        <v>360.32499999999993</v>
      </c>
      <c r="L7" s="67">
        <v>506.125</v>
      </c>
      <c r="M7" s="56">
        <v>1559.8</v>
      </c>
      <c r="N7" s="34"/>
      <c r="O7" s="78">
        <v>340.77499999999998</v>
      </c>
      <c r="P7" s="67">
        <v>369.27500000000003</v>
      </c>
      <c r="Q7" s="67">
        <v>384.67500000000001</v>
      </c>
      <c r="R7" s="67">
        <v>444.77500000000003</v>
      </c>
      <c r="S7" s="56">
        <v>1539.5000000000002</v>
      </c>
      <c r="T7" s="34"/>
      <c r="U7" s="78">
        <v>323.25</v>
      </c>
      <c r="V7" s="67">
        <v>398.05</v>
      </c>
      <c r="W7" s="67">
        <v>427.24999999999989</v>
      </c>
      <c r="X7" s="67">
        <v>424.84999999999997</v>
      </c>
      <c r="Y7" s="56">
        <v>1573.3999999999999</v>
      </c>
      <c r="Z7" s="34"/>
      <c r="AA7" s="78">
        <v>405.8</v>
      </c>
      <c r="AB7" s="67">
        <v>493.90000000000003</v>
      </c>
      <c r="AC7" s="67">
        <v>551.6</v>
      </c>
      <c r="AD7" s="67">
        <v>476.90000000000003</v>
      </c>
      <c r="AE7" s="56">
        <v>1928.2000000000003</v>
      </c>
      <c r="AF7" s="34"/>
      <c r="AG7" s="78">
        <v>422.7</v>
      </c>
      <c r="AH7" s="67">
        <v>475.90000000000003</v>
      </c>
      <c r="AI7" s="67">
        <v>585.5</v>
      </c>
      <c r="AJ7" s="67">
        <v>614.70000000000005</v>
      </c>
      <c r="AK7" s="56">
        <v>2098.8000000000002</v>
      </c>
      <c r="AL7" s="34"/>
      <c r="AM7" s="78">
        <v>519.29999999999995</v>
      </c>
      <c r="AN7" s="67">
        <v>651.79999999999995</v>
      </c>
      <c r="AO7" s="67">
        <v>682.19999999999993</v>
      </c>
      <c r="AP7" s="67">
        <v>656.8</v>
      </c>
      <c r="AQ7" s="56">
        <v>2510.1</v>
      </c>
      <c r="AR7" s="34"/>
      <c r="AS7" s="78">
        <v>576.79999999999995</v>
      </c>
      <c r="AT7" s="67">
        <v>651.1</v>
      </c>
      <c r="AU7" s="67">
        <v>680.5</v>
      </c>
      <c r="AV7" s="67">
        <v>791.1</v>
      </c>
      <c r="AW7" s="56">
        <v>2699.5</v>
      </c>
      <c r="AX7" s="34"/>
      <c r="AY7" s="78">
        <v>634.19999999999993</v>
      </c>
      <c r="AZ7" s="67">
        <v>849.8</v>
      </c>
      <c r="BA7" s="67">
        <v>1031.4000000000001</v>
      </c>
      <c r="BB7" s="67">
        <v>1064.5999999999999</v>
      </c>
      <c r="BC7" s="56">
        <v>3580</v>
      </c>
      <c r="BD7" s="34"/>
      <c r="BE7" s="78">
        <v>785.4</v>
      </c>
      <c r="BF7" s="67">
        <v>1012.2</v>
      </c>
      <c r="BG7" s="67">
        <v>975.6</v>
      </c>
      <c r="BH7" s="67">
        <v>1022.6000000000001</v>
      </c>
      <c r="BI7" s="56">
        <v>3795.8</v>
      </c>
      <c r="BJ7" s="34"/>
      <c r="BK7" s="78">
        <v>930.9</v>
      </c>
      <c r="BL7" s="67">
        <v>1138.1999999999998</v>
      </c>
      <c r="BM7" s="67">
        <v>1056.5999999999999</v>
      </c>
      <c r="BN7" s="67">
        <v>1165.6000000000004</v>
      </c>
      <c r="BO7" s="56">
        <v>4291.3</v>
      </c>
      <c r="BP7" s="34"/>
      <c r="BQ7" s="78">
        <v>1032.7</v>
      </c>
      <c r="BR7" s="67">
        <v>1211.4000000000001</v>
      </c>
      <c r="BS7" s="67">
        <v>1251.9000000000001</v>
      </c>
      <c r="BT7" s="67">
        <v>1417.6999999999994</v>
      </c>
      <c r="BU7" s="56">
        <v>4913.7</v>
      </c>
      <c r="BV7" s="34"/>
      <c r="BW7" s="78">
        <v>1207</v>
      </c>
      <c r="BX7" s="79">
        <v>1277.3000000000002</v>
      </c>
      <c r="BY7" s="79">
        <v>1316.1</v>
      </c>
      <c r="BZ7" s="79">
        <f>CA7-BY7-BX7-BW7</f>
        <v>1460.7000000000003</v>
      </c>
      <c r="CA7" s="56">
        <v>5261.1</v>
      </c>
      <c r="CB7" s="34"/>
      <c r="CC7" s="78">
        <v>1328.8</v>
      </c>
      <c r="CD7" s="79">
        <v>1324.3</v>
      </c>
      <c r="CE7" s="79">
        <v>1401</v>
      </c>
      <c r="CF7" s="79">
        <f>CG7-CE7-CD7-CC7</f>
        <v>1520.5000000000002</v>
      </c>
      <c r="CG7" s="56">
        <v>5574.6</v>
      </c>
      <c r="CH7" s="34"/>
    </row>
    <row r="8" spans="1:86" s="33" customFormat="1" ht="5.25" customHeight="1" x14ac:dyDescent="0.2">
      <c r="A8" s="77"/>
      <c r="B8" s="67"/>
      <c r="C8" s="78"/>
      <c r="D8" s="67"/>
      <c r="E8" s="67"/>
      <c r="F8" s="67"/>
      <c r="G8" s="56"/>
      <c r="H8" s="34"/>
      <c r="I8" s="78"/>
      <c r="J8" s="67"/>
      <c r="K8" s="67"/>
      <c r="L8" s="67"/>
      <c r="M8" s="56"/>
      <c r="N8" s="34"/>
      <c r="O8" s="78"/>
      <c r="P8" s="67"/>
      <c r="Q8" s="67"/>
      <c r="R8" s="67"/>
      <c r="S8" s="56"/>
      <c r="T8" s="34"/>
      <c r="U8" s="78"/>
      <c r="V8" s="67"/>
      <c r="W8" s="67"/>
      <c r="X8" s="67"/>
      <c r="Y8" s="56"/>
      <c r="Z8" s="34"/>
      <c r="AA8" s="78"/>
      <c r="AB8" s="67"/>
      <c r="AC8" s="67"/>
      <c r="AD8" s="67"/>
      <c r="AE8" s="56"/>
      <c r="AF8" s="34"/>
      <c r="AG8" s="78"/>
      <c r="AH8" s="67"/>
      <c r="AI8" s="67"/>
      <c r="AJ8" s="67"/>
      <c r="AK8" s="56"/>
      <c r="AL8" s="34"/>
      <c r="AM8" s="78"/>
      <c r="AN8" s="67"/>
      <c r="AO8" s="67"/>
      <c r="AP8" s="67"/>
      <c r="AQ8" s="56"/>
      <c r="AR8" s="34"/>
      <c r="AS8" s="78"/>
      <c r="AT8" s="67"/>
      <c r="AU8" s="67"/>
      <c r="AV8" s="67"/>
      <c r="AW8" s="56"/>
      <c r="AX8" s="34"/>
      <c r="AY8" s="78"/>
      <c r="AZ8" s="67"/>
      <c r="BA8" s="67"/>
      <c r="BB8" s="67"/>
      <c r="BC8" s="56"/>
      <c r="BD8" s="34"/>
      <c r="BE8" s="78"/>
      <c r="BF8" s="67"/>
      <c r="BG8" s="67"/>
      <c r="BH8" s="67"/>
      <c r="BI8" s="56"/>
      <c r="BJ8" s="34"/>
      <c r="BK8" s="78"/>
      <c r="BL8" s="67"/>
      <c r="BM8" s="67"/>
      <c r="BN8" s="67"/>
      <c r="BO8" s="56"/>
      <c r="BP8" s="34"/>
      <c r="BQ8" s="78"/>
      <c r="BR8" s="67"/>
      <c r="BS8" s="67"/>
      <c r="BT8" s="67"/>
      <c r="BU8" s="56"/>
      <c r="BV8" s="34"/>
      <c r="BW8" s="78"/>
      <c r="BX8" s="79"/>
      <c r="BY8" s="79"/>
      <c r="BZ8" s="79"/>
      <c r="CA8" s="56"/>
      <c r="CB8" s="34"/>
      <c r="CC8" s="78"/>
      <c r="CD8" s="79"/>
      <c r="CE8" s="79"/>
      <c r="CF8" s="79"/>
      <c r="CG8" s="56"/>
      <c r="CH8" s="34"/>
    </row>
    <row r="9" spans="1:86" x14ac:dyDescent="0.2">
      <c r="A9" s="51" t="s">
        <v>16</v>
      </c>
      <c r="B9" s="67"/>
      <c r="C9" s="68">
        <v>245.155</v>
      </c>
      <c r="D9" s="69">
        <v>280.255</v>
      </c>
      <c r="E9" s="69">
        <v>280.05499999999995</v>
      </c>
      <c r="F9" s="69">
        <v>306.85500000000002</v>
      </c>
      <c r="G9" s="70">
        <v>1112.32</v>
      </c>
      <c r="H9" s="2"/>
      <c r="I9" s="68">
        <v>265.97500000000002</v>
      </c>
      <c r="J9" s="69">
        <v>306.27499999999998</v>
      </c>
      <c r="K9" s="69">
        <v>292.57500000000005</v>
      </c>
      <c r="L9" s="69">
        <v>353.27500000000009</v>
      </c>
      <c r="M9" s="70">
        <v>1218.1000000000001</v>
      </c>
      <c r="N9" s="2"/>
      <c r="O9" s="68">
        <v>264.625</v>
      </c>
      <c r="P9" s="69">
        <v>301.82499999999999</v>
      </c>
      <c r="Q9" s="69">
        <v>328.92500000000001</v>
      </c>
      <c r="R9" s="69">
        <v>306.42500000000001</v>
      </c>
      <c r="S9" s="70">
        <v>1201.8</v>
      </c>
      <c r="T9" s="2"/>
      <c r="U9" s="68">
        <v>264.04999999999995</v>
      </c>
      <c r="V9" s="69">
        <v>323.45</v>
      </c>
      <c r="W9" s="69">
        <v>355.55000000000007</v>
      </c>
      <c r="X9" s="69">
        <v>360.75000000000006</v>
      </c>
      <c r="Y9" s="70">
        <v>1303.8</v>
      </c>
      <c r="Z9" s="2"/>
      <c r="AA9" s="68">
        <v>340.2</v>
      </c>
      <c r="AB9" s="69">
        <v>411.00000000000006</v>
      </c>
      <c r="AC9" s="69">
        <v>427.4</v>
      </c>
      <c r="AD9" s="69">
        <v>409.00000000000006</v>
      </c>
      <c r="AE9" s="70">
        <v>1587.6</v>
      </c>
      <c r="AF9" s="2"/>
      <c r="AG9" s="68">
        <v>375.2</v>
      </c>
      <c r="AH9" s="69">
        <v>429.7</v>
      </c>
      <c r="AI9" s="69">
        <v>475.09999999999991</v>
      </c>
      <c r="AJ9" s="69">
        <v>528.29999999999995</v>
      </c>
      <c r="AK9" s="70">
        <v>1808.3</v>
      </c>
      <c r="AL9" s="2"/>
      <c r="AM9" s="68">
        <v>413.6</v>
      </c>
      <c r="AN9" s="69">
        <v>477.40000000000009</v>
      </c>
      <c r="AO9" s="69">
        <v>507.50000000000006</v>
      </c>
      <c r="AP9" s="69">
        <v>512.40000000000009</v>
      </c>
      <c r="AQ9" s="70">
        <v>1910.9</v>
      </c>
      <c r="AR9" s="2"/>
      <c r="AS9" s="68">
        <v>444.99999999999994</v>
      </c>
      <c r="AT9" s="69">
        <v>487.79999999999984</v>
      </c>
      <c r="AU9" s="69">
        <v>507.29999999999995</v>
      </c>
      <c r="AV9" s="69">
        <v>609.4</v>
      </c>
      <c r="AW9" s="70">
        <v>2049.5</v>
      </c>
      <c r="AX9" s="2"/>
      <c r="AY9" s="68">
        <v>472.7000000000001</v>
      </c>
      <c r="AZ9" s="69">
        <v>622.20000000000005</v>
      </c>
      <c r="BA9" s="69">
        <v>717.00000000000011</v>
      </c>
      <c r="BB9" s="69">
        <v>751.00000000000011</v>
      </c>
      <c r="BC9" s="70">
        <v>2562.8999999999996</v>
      </c>
      <c r="BD9" s="2"/>
      <c r="BE9" s="68">
        <v>574.1</v>
      </c>
      <c r="BF9" s="69">
        <v>757.7</v>
      </c>
      <c r="BG9" s="69">
        <v>738.99999999999989</v>
      </c>
      <c r="BH9" s="69">
        <v>743.2999999999995</v>
      </c>
      <c r="BI9" s="70">
        <v>2814.0999999999995</v>
      </c>
      <c r="BJ9" s="2"/>
      <c r="BK9" s="68">
        <v>632.80000000000007</v>
      </c>
      <c r="BL9" s="69">
        <v>833.80000000000007</v>
      </c>
      <c r="BM9" s="69">
        <v>798.80000000000018</v>
      </c>
      <c r="BN9" s="69">
        <v>875.40000000000032</v>
      </c>
      <c r="BO9" s="70">
        <v>3140.8</v>
      </c>
      <c r="BP9" s="62"/>
      <c r="BQ9" s="68">
        <v>721.5</v>
      </c>
      <c r="BR9" s="69">
        <v>916.09999999999991</v>
      </c>
      <c r="BS9" s="69">
        <v>995</v>
      </c>
      <c r="BT9" s="69">
        <v>1049.5000000000023</v>
      </c>
      <c r="BU9" s="70">
        <v>3682.1000000000013</v>
      </c>
      <c r="BV9" s="62"/>
      <c r="BW9" s="68">
        <f>BW4-BW7</f>
        <v>873.5</v>
      </c>
      <c r="BX9" s="71">
        <f>BX4-BX7</f>
        <v>1041.3999999999996</v>
      </c>
      <c r="BY9" s="71">
        <f>BY4-BY7</f>
        <v>1062.0999999999999</v>
      </c>
      <c r="BZ9" s="71">
        <f>BZ4-BZ7</f>
        <v>1108.1999999999994</v>
      </c>
      <c r="CA9" s="70">
        <f>CA4-CA7</f>
        <v>4085.1999999999989</v>
      </c>
      <c r="CB9" s="62"/>
      <c r="CC9" s="68">
        <f>CC4-CC7</f>
        <v>973.2</v>
      </c>
      <c r="CD9" s="71">
        <f>CD4-CD7</f>
        <v>994.89999999999986</v>
      </c>
      <c r="CE9" s="71">
        <f>CE4-CE7</f>
        <v>1177.1999999999998</v>
      </c>
      <c r="CF9" s="71">
        <f>CF4-CF7</f>
        <v>1221.3999999999994</v>
      </c>
      <c r="CG9" s="70">
        <f>CG4-CG7</f>
        <v>4366.6999999999989</v>
      </c>
      <c r="CH9" s="2"/>
    </row>
    <row r="10" spans="1:86" x14ac:dyDescent="0.2">
      <c r="A10" s="32" t="s">
        <v>17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2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2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2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  <c r="CH10" s="2"/>
    </row>
    <row r="11" spans="1:86" ht="5.25" customHeight="1" x14ac:dyDescent="0.2">
      <c r="A11" s="30"/>
      <c r="B11" s="72"/>
      <c r="C11" s="73"/>
      <c r="D11" s="72"/>
      <c r="E11" s="72"/>
      <c r="F11" s="72"/>
      <c r="G11" s="74"/>
      <c r="H11" s="2"/>
      <c r="I11" s="73"/>
      <c r="J11" s="72"/>
      <c r="K11" s="72"/>
      <c r="L11" s="72"/>
      <c r="M11" s="74"/>
      <c r="N11" s="2"/>
      <c r="O11" s="73"/>
      <c r="P11" s="72"/>
      <c r="Q11" s="72"/>
      <c r="R11" s="72"/>
      <c r="S11" s="74"/>
      <c r="T11" s="2"/>
      <c r="U11" s="73"/>
      <c r="V11" s="72"/>
      <c r="W11" s="72"/>
      <c r="X11" s="72"/>
      <c r="Y11" s="74"/>
      <c r="Z11" s="2"/>
      <c r="AA11" s="73"/>
      <c r="AB11" s="72"/>
      <c r="AC11" s="72"/>
      <c r="AD11" s="72"/>
      <c r="AE11" s="74"/>
      <c r="AF11" s="2"/>
      <c r="AG11" s="73"/>
      <c r="AH11" s="72"/>
      <c r="AI11" s="72"/>
      <c r="AJ11" s="72"/>
      <c r="AK11" s="74"/>
      <c r="AL11" s="2"/>
      <c r="AM11" s="73"/>
      <c r="AN11" s="72"/>
      <c r="AO11" s="72"/>
      <c r="AP11" s="72"/>
      <c r="AQ11" s="74"/>
      <c r="AR11" s="2"/>
      <c r="AS11" s="73"/>
      <c r="AT11" s="72"/>
      <c r="AU11" s="72"/>
      <c r="AV11" s="72"/>
      <c r="AW11" s="74"/>
      <c r="AX11" s="2"/>
      <c r="AY11" s="73"/>
      <c r="AZ11" s="72"/>
      <c r="BA11" s="72"/>
      <c r="BB11" s="72"/>
      <c r="BC11" s="74"/>
      <c r="BD11" s="2"/>
      <c r="BE11" s="73"/>
      <c r="BF11" s="72"/>
      <c r="BG11" s="72"/>
      <c r="BH11" s="72"/>
      <c r="BI11" s="74"/>
      <c r="BJ11" s="2"/>
      <c r="BK11" s="73"/>
      <c r="BL11" s="72"/>
      <c r="BM11" s="72"/>
      <c r="BN11" s="72"/>
      <c r="BO11" s="75"/>
      <c r="BP11" s="62"/>
      <c r="BQ11" s="73"/>
      <c r="BR11" s="72"/>
      <c r="BS11" s="72"/>
      <c r="BT11" s="72"/>
      <c r="BU11" s="75"/>
      <c r="BV11" s="62"/>
      <c r="BW11" s="73"/>
      <c r="BX11" s="76"/>
      <c r="BY11" s="76"/>
      <c r="BZ11" s="76"/>
      <c r="CA11" s="75"/>
      <c r="CB11" s="62"/>
      <c r="CC11" s="73"/>
      <c r="CD11" s="76"/>
      <c r="CE11" s="76"/>
      <c r="CF11" s="76"/>
      <c r="CG11" s="75"/>
      <c r="CH11" s="2"/>
    </row>
    <row r="12" spans="1:86" s="33" customFormat="1" x14ac:dyDescent="0.2">
      <c r="A12" s="77" t="s">
        <v>18</v>
      </c>
      <c r="B12" s="67"/>
      <c r="C12" s="78">
        <v>174.4</v>
      </c>
      <c r="D12" s="67">
        <v>182</v>
      </c>
      <c r="E12" s="67">
        <v>162.60000000000002</v>
      </c>
      <c r="F12" s="67">
        <v>188.60000000000002</v>
      </c>
      <c r="G12" s="56">
        <v>707.6</v>
      </c>
      <c r="H12" s="34"/>
      <c r="I12" s="78">
        <v>190.20000000000002</v>
      </c>
      <c r="J12" s="67">
        <v>197.1</v>
      </c>
      <c r="K12" s="67">
        <v>195.6</v>
      </c>
      <c r="L12" s="67">
        <v>206.2</v>
      </c>
      <c r="M12" s="56">
        <v>789.1</v>
      </c>
      <c r="N12" s="34"/>
      <c r="O12" s="78">
        <v>188</v>
      </c>
      <c r="P12" s="67">
        <v>201.2</v>
      </c>
      <c r="Q12" s="67">
        <v>169.20000000000002</v>
      </c>
      <c r="R12" s="67">
        <v>163.89999999999998</v>
      </c>
      <c r="S12" s="56">
        <v>722.3</v>
      </c>
      <c r="T12" s="34"/>
      <c r="U12" s="78">
        <v>182</v>
      </c>
      <c r="V12" s="67">
        <v>199.9</v>
      </c>
      <c r="W12" s="67">
        <v>197</v>
      </c>
      <c r="X12" s="67">
        <v>238.70000000000002</v>
      </c>
      <c r="Y12" s="56">
        <v>817.6</v>
      </c>
      <c r="Z12" s="34"/>
      <c r="AA12" s="78">
        <v>222.1</v>
      </c>
      <c r="AB12" s="67">
        <v>231.7</v>
      </c>
      <c r="AC12" s="67">
        <v>225.60000000000002</v>
      </c>
      <c r="AD12" s="67">
        <v>243.70000000000002</v>
      </c>
      <c r="AE12" s="56">
        <v>923.1</v>
      </c>
      <c r="AF12" s="34"/>
      <c r="AG12" s="78">
        <v>241.00000000000003</v>
      </c>
      <c r="AH12" s="67">
        <v>251.60000000000002</v>
      </c>
      <c r="AI12" s="67">
        <v>282.10000000000002</v>
      </c>
      <c r="AJ12" s="67">
        <v>296.29999999999995</v>
      </c>
      <c r="AK12" s="56">
        <v>1071</v>
      </c>
      <c r="AL12" s="34"/>
      <c r="AM12" s="78">
        <v>298.89999999999998</v>
      </c>
      <c r="AN12" s="67">
        <v>305.7</v>
      </c>
      <c r="AO12" s="67">
        <v>291.89999999999998</v>
      </c>
      <c r="AP12" s="67">
        <v>313.39999999999998</v>
      </c>
      <c r="AQ12" s="56">
        <v>1209.9000000000001</v>
      </c>
      <c r="AR12" s="34"/>
      <c r="AS12" s="78">
        <v>338</v>
      </c>
      <c r="AT12" s="67">
        <v>329.49999999999994</v>
      </c>
      <c r="AU12" s="67">
        <v>301.60000000000002</v>
      </c>
      <c r="AV12" s="67">
        <v>343.9</v>
      </c>
      <c r="AW12" s="56">
        <v>1312.9999999999998</v>
      </c>
      <c r="AX12" s="34"/>
      <c r="AY12" s="78">
        <v>368.3</v>
      </c>
      <c r="AZ12" s="67">
        <v>382.2</v>
      </c>
      <c r="BA12" s="67">
        <v>393.09999999999997</v>
      </c>
      <c r="BB12" s="67">
        <v>404.30000000000007</v>
      </c>
      <c r="BC12" s="56">
        <v>1547.9</v>
      </c>
      <c r="BD12" s="34"/>
      <c r="BE12" s="78">
        <v>420.9</v>
      </c>
      <c r="BF12" s="67">
        <v>439.2</v>
      </c>
      <c r="BG12" s="67">
        <v>407.79999999999995</v>
      </c>
      <c r="BH12" s="67">
        <v>426.99999999999989</v>
      </c>
      <c r="BI12" s="56">
        <v>1694.8999999999999</v>
      </c>
      <c r="BJ12" s="34"/>
      <c r="BK12" s="78">
        <v>474.8</v>
      </c>
      <c r="BL12" s="67">
        <v>528.20000000000005</v>
      </c>
      <c r="BM12" s="67">
        <v>495.59999999999997</v>
      </c>
      <c r="BN12" s="67">
        <v>573.89999999999986</v>
      </c>
      <c r="BO12" s="56">
        <v>2072.5</v>
      </c>
      <c r="BP12" s="34"/>
      <c r="BQ12" s="78">
        <v>579.70000000000005</v>
      </c>
      <c r="BR12" s="67">
        <v>609.30000000000007</v>
      </c>
      <c r="BS12" s="67">
        <v>587</v>
      </c>
      <c r="BT12" s="67">
        <v>653.59999999999991</v>
      </c>
      <c r="BU12" s="56">
        <v>2429.6</v>
      </c>
      <c r="BV12" s="34"/>
      <c r="BW12" s="78">
        <v>666.9</v>
      </c>
      <c r="BX12" s="79">
        <v>689.30000000000007</v>
      </c>
      <c r="BY12" s="79">
        <v>647.39999999999975</v>
      </c>
      <c r="BZ12" s="79">
        <f>CA12-BY12-BX12-BW12</f>
        <v>700.20000000000039</v>
      </c>
      <c r="CA12" s="56">
        <v>2703.8</v>
      </c>
      <c r="CB12" s="34"/>
      <c r="CC12" s="78">
        <v>744.9</v>
      </c>
      <c r="CD12" s="79">
        <v>707.2</v>
      </c>
      <c r="CE12" s="79">
        <v>676.2</v>
      </c>
      <c r="CF12" s="79">
        <f>CG12-CE12-CD12-CC12</f>
        <v>716.20000000000016</v>
      </c>
      <c r="CG12" s="56">
        <v>2844.5</v>
      </c>
      <c r="CH12" s="34"/>
    </row>
    <row r="13" spans="1:86" ht="5.25" customHeight="1" x14ac:dyDescent="0.2">
      <c r="A13" s="31"/>
      <c r="B13" s="72"/>
      <c r="C13" s="73"/>
      <c r="D13" s="72"/>
      <c r="E13" s="72"/>
      <c r="F13" s="72"/>
      <c r="G13" s="74"/>
      <c r="H13" s="2"/>
      <c r="I13" s="73"/>
      <c r="J13" s="72"/>
      <c r="K13" s="72"/>
      <c r="L13" s="72"/>
      <c r="M13" s="74"/>
      <c r="N13" s="2"/>
      <c r="O13" s="73"/>
      <c r="P13" s="72"/>
      <c r="Q13" s="72"/>
      <c r="R13" s="72"/>
      <c r="S13" s="74"/>
      <c r="T13" s="2"/>
      <c r="U13" s="73"/>
      <c r="V13" s="72"/>
      <c r="W13" s="72"/>
      <c r="X13" s="72"/>
      <c r="Y13" s="74"/>
      <c r="Z13" s="2"/>
      <c r="AA13" s="73"/>
      <c r="AB13" s="72"/>
      <c r="AC13" s="72"/>
      <c r="AD13" s="72"/>
      <c r="AE13" s="74"/>
      <c r="AF13" s="2"/>
      <c r="AG13" s="73"/>
      <c r="AH13" s="72"/>
      <c r="AI13" s="72"/>
      <c r="AJ13" s="72"/>
      <c r="AK13" s="74"/>
      <c r="AL13" s="2"/>
      <c r="AM13" s="73"/>
      <c r="AN13" s="72"/>
      <c r="AO13" s="72"/>
      <c r="AP13" s="72"/>
      <c r="AQ13" s="74"/>
      <c r="AR13" s="2"/>
      <c r="AS13" s="73"/>
      <c r="AT13" s="72"/>
      <c r="AU13" s="72"/>
      <c r="AV13" s="72"/>
      <c r="AW13" s="74"/>
      <c r="AX13" s="2"/>
      <c r="AY13" s="73"/>
      <c r="AZ13" s="72"/>
      <c r="BA13" s="72"/>
      <c r="BB13" s="72"/>
      <c r="BC13" s="74"/>
      <c r="BD13" s="2"/>
      <c r="BE13" s="73"/>
      <c r="BF13" s="72"/>
      <c r="BG13" s="72"/>
      <c r="BH13" s="72"/>
      <c r="BI13" s="74"/>
      <c r="BJ13" s="2"/>
      <c r="BK13" s="73"/>
      <c r="BL13" s="72"/>
      <c r="BM13" s="72"/>
      <c r="BN13" s="72"/>
      <c r="BO13" s="75"/>
      <c r="BP13" s="62"/>
      <c r="BQ13" s="73"/>
      <c r="BR13" s="72"/>
      <c r="BS13" s="72"/>
      <c r="BT13" s="72"/>
      <c r="BU13" s="75"/>
      <c r="BV13" s="62"/>
      <c r="BW13" s="73"/>
      <c r="BX13" s="76"/>
      <c r="BY13" s="76"/>
      <c r="BZ13" s="76"/>
      <c r="CA13" s="75"/>
      <c r="CB13" s="62"/>
      <c r="CC13" s="73"/>
      <c r="CD13" s="76"/>
      <c r="CE13" s="76"/>
      <c r="CF13" s="76"/>
      <c r="CG13" s="75"/>
      <c r="CH13" s="2"/>
    </row>
    <row r="14" spans="1:86" s="33" customFormat="1" x14ac:dyDescent="0.2">
      <c r="A14" s="66" t="s">
        <v>107</v>
      </c>
      <c r="B14" s="67"/>
      <c r="C14" s="68">
        <v>70.75500000000001</v>
      </c>
      <c r="D14" s="69">
        <v>98.254999999999995</v>
      </c>
      <c r="E14" s="69">
        <v>117.45499999999994</v>
      </c>
      <c r="F14" s="69">
        <v>118.255</v>
      </c>
      <c r="G14" s="70">
        <v>404.71999999999991</v>
      </c>
      <c r="H14" s="34"/>
      <c r="I14" s="68">
        <v>75.77500000000002</v>
      </c>
      <c r="J14" s="69">
        <v>109.17499999999998</v>
      </c>
      <c r="K14" s="69">
        <v>96.975000000000037</v>
      </c>
      <c r="L14" s="69">
        <v>147.0750000000001</v>
      </c>
      <c r="M14" s="70">
        <v>429.00000000000011</v>
      </c>
      <c r="N14" s="34"/>
      <c r="O14" s="68">
        <v>76.624999999999986</v>
      </c>
      <c r="P14" s="69">
        <v>100.625</v>
      </c>
      <c r="Q14" s="69">
        <v>159.72499999999999</v>
      </c>
      <c r="R14" s="69">
        <v>142.52500000000003</v>
      </c>
      <c r="S14" s="70">
        <v>479.49999999999994</v>
      </c>
      <c r="T14" s="34"/>
      <c r="U14" s="68">
        <v>82.049999999999969</v>
      </c>
      <c r="V14" s="69">
        <v>123.55</v>
      </c>
      <c r="W14" s="69">
        <v>158.55000000000007</v>
      </c>
      <c r="X14" s="69">
        <v>122.05000000000004</v>
      </c>
      <c r="Y14" s="70">
        <v>486.19999999999993</v>
      </c>
      <c r="Z14" s="34"/>
      <c r="AA14" s="68">
        <v>118.1</v>
      </c>
      <c r="AB14" s="69">
        <v>179.30000000000007</v>
      </c>
      <c r="AC14" s="69">
        <v>201.79999999999995</v>
      </c>
      <c r="AD14" s="69">
        <v>165.30000000000004</v>
      </c>
      <c r="AE14" s="70">
        <v>664.49999999999989</v>
      </c>
      <c r="AF14" s="34"/>
      <c r="AG14" s="68">
        <v>134.19999999999996</v>
      </c>
      <c r="AH14" s="69">
        <v>178.09999999999997</v>
      </c>
      <c r="AI14" s="69">
        <v>192.99999999999989</v>
      </c>
      <c r="AJ14" s="69">
        <v>231.99999999999997</v>
      </c>
      <c r="AK14" s="70">
        <v>737.3</v>
      </c>
      <c r="AL14" s="34"/>
      <c r="AM14" s="68">
        <v>114.70000000000002</v>
      </c>
      <c r="AN14" s="69">
        <v>171.7000000000001</v>
      </c>
      <c r="AO14" s="69">
        <v>215.60000000000008</v>
      </c>
      <c r="AP14" s="69">
        <v>199.00000000000009</v>
      </c>
      <c r="AQ14" s="70">
        <v>701</v>
      </c>
      <c r="AR14" s="67"/>
      <c r="AS14" s="68">
        <v>106.99999999999997</v>
      </c>
      <c r="AT14" s="69">
        <v>158.2999999999999</v>
      </c>
      <c r="AU14" s="69">
        <v>205.6999999999999</v>
      </c>
      <c r="AV14" s="69">
        <v>265.5</v>
      </c>
      <c r="AW14" s="70">
        <v>736.50000000000023</v>
      </c>
      <c r="AX14" s="67"/>
      <c r="AY14" s="68">
        <v>104.40000000000008</v>
      </c>
      <c r="AZ14" s="69">
        <v>240.00000000000003</v>
      </c>
      <c r="BA14" s="69">
        <v>323.90000000000015</v>
      </c>
      <c r="BB14" s="69">
        <v>346.70000000000005</v>
      </c>
      <c r="BC14" s="70">
        <v>1014.9999999999995</v>
      </c>
      <c r="BD14" s="67"/>
      <c r="BE14" s="68">
        <v>153.20000000000005</v>
      </c>
      <c r="BF14" s="69">
        <v>318.50000000000006</v>
      </c>
      <c r="BG14" s="69">
        <v>331.19999999999993</v>
      </c>
      <c r="BH14" s="69">
        <v>316.29999999999961</v>
      </c>
      <c r="BI14" s="70">
        <v>1119.1999999999996</v>
      </c>
      <c r="BJ14" s="67"/>
      <c r="BK14" s="68">
        <v>158.00000000000009</v>
      </c>
      <c r="BL14" s="69">
        <v>305.60000000000008</v>
      </c>
      <c r="BM14" s="69">
        <v>303.20000000000022</v>
      </c>
      <c r="BN14" s="69">
        <v>301.50000000000045</v>
      </c>
      <c r="BO14" s="70">
        <v>1068.3000000000002</v>
      </c>
      <c r="BP14" s="34"/>
      <c r="BQ14" s="68">
        <v>141.79999999999995</v>
      </c>
      <c r="BR14" s="69">
        <v>306.7999999999999</v>
      </c>
      <c r="BS14" s="69">
        <v>408</v>
      </c>
      <c r="BT14" s="69">
        <v>395.90000000000231</v>
      </c>
      <c r="BU14" s="70">
        <v>1252.5000000000014</v>
      </c>
      <c r="BV14" s="34"/>
      <c r="BW14" s="68">
        <f>BW9-BW12</f>
        <v>206.60000000000002</v>
      </c>
      <c r="BX14" s="71">
        <f>BX9-BX12</f>
        <v>352.09999999999957</v>
      </c>
      <c r="BY14" s="71">
        <f>BY9-BY12</f>
        <v>414.70000000000016</v>
      </c>
      <c r="BZ14" s="71">
        <f>BZ9-BZ12</f>
        <v>407.99999999999898</v>
      </c>
      <c r="CA14" s="70">
        <f>CA9-CA12</f>
        <v>1381.3999999999987</v>
      </c>
      <c r="CB14" s="34"/>
      <c r="CC14" s="68">
        <f>CC9-CC12</f>
        <v>228.30000000000007</v>
      </c>
      <c r="CD14" s="71">
        <f>CD9-CD12</f>
        <v>287.69999999999982</v>
      </c>
      <c r="CE14" s="71">
        <f>CE9-CE12</f>
        <v>500.99999999999977</v>
      </c>
      <c r="CF14" s="71">
        <f>CF9-CF12</f>
        <v>505.19999999999925</v>
      </c>
      <c r="CG14" s="70">
        <f>CG9-CG12</f>
        <v>1522.1999999999989</v>
      </c>
      <c r="CH14" s="34"/>
    </row>
    <row r="15" spans="1:86" x14ac:dyDescent="0.2">
      <c r="A15" s="32" t="s">
        <v>17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2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2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2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  <c r="CH15" s="2"/>
    </row>
    <row r="16" spans="1:86" ht="5.25" customHeight="1" x14ac:dyDescent="0.2">
      <c r="A16" s="31"/>
      <c r="B16" s="72"/>
      <c r="C16" s="73"/>
      <c r="D16" s="72"/>
      <c r="E16" s="72"/>
      <c r="F16" s="72"/>
      <c r="G16" s="75"/>
      <c r="H16" s="2"/>
      <c r="I16" s="73"/>
      <c r="J16" s="72"/>
      <c r="K16" s="72"/>
      <c r="L16" s="72"/>
      <c r="M16" s="75"/>
      <c r="N16" s="2"/>
      <c r="O16" s="73"/>
      <c r="P16" s="72"/>
      <c r="Q16" s="72"/>
      <c r="R16" s="72"/>
      <c r="S16" s="75"/>
      <c r="T16" s="2"/>
      <c r="U16" s="73"/>
      <c r="V16" s="72"/>
      <c r="W16" s="72"/>
      <c r="X16" s="72"/>
      <c r="Y16" s="75"/>
      <c r="Z16" s="2"/>
      <c r="AA16" s="73"/>
      <c r="AB16" s="72"/>
      <c r="AC16" s="72"/>
      <c r="AD16" s="72"/>
      <c r="AE16" s="75"/>
      <c r="AF16" s="2"/>
      <c r="AG16" s="73"/>
      <c r="AH16" s="72"/>
      <c r="AI16" s="72"/>
      <c r="AJ16" s="72"/>
      <c r="AK16" s="75"/>
      <c r="AL16" s="2"/>
      <c r="AM16" s="73"/>
      <c r="AN16" s="72"/>
      <c r="AO16" s="72"/>
      <c r="AP16" s="72"/>
      <c r="AQ16" s="75"/>
      <c r="AR16" s="2"/>
      <c r="AS16" s="73"/>
      <c r="AT16" s="72"/>
      <c r="AU16" s="72"/>
      <c r="AV16" s="72"/>
      <c r="AW16" s="75"/>
      <c r="AX16" s="2"/>
      <c r="AY16" s="73"/>
      <c r="AZ16" s="72"/>
      <c r="BA16" s="72"/>
      <c r="BB16" s="72"/>
      <c r="BC16" s="75"/>
      <c r="BD16" s="2"/>
      <c r="BE16" s="73"/>
      <c r="BF16" s="72"/>
      <c r="BG16" s="72"/>
      <c r="BH16" s="72"/>
      <c r="BI16" s="75"/>
      <c r="BJ16" s="2"/>
      <c r="BK16" s="73"/>
      <c r="BL16" s="72"/>
      <c r="BM16" s="72"/>
      <c r="BN16" s="72"/>
      <c r="BO16" s="75"/>
      <c r="BP16" s="62"/>
      <c r="BQ16" s="73"/>
      <c r="BR16" s="72"/>
      <c r="BS16" s="72"/>
      <c r="BT16" s="72"/>
      <c r="BU16" s="75"/>
      <c r="BV16" s="62"/>
      <c r="BW16" s="73"/>
      <c r="BX16" s="76"/>
      <c r="BY16" s="76"/>
      <c r="BZ16" s="76"/>
      <c r="CA16" s="75"/>
      <c r="CB16" s="62"/>
      <c r="CC16" s="73"/>
      <c r="CD16" s="76"/>
      <c r="CE16" s="76"/>
      <c r="CF16" s="76"/>
      <c r="CG16" s="75"/>
      <c r="CH16" s="2"/>
    </row>
    <row r="17" spans="1:88" s="33" customFormat="1" x14ac:dyDescent="0.2">
      <c r="A17" s="77" t="s">
        <v>20</v>
      </c>
      <c r="B17" s="67"/>
      <c r="C17" s="78">
        <v>8.1549999999999994</v>
      </c>
      <c r="D17" s="67">
        <v>8.1549999999999994</v>
      </c>
      <c r="E17" s="67">
        <v>8.1549999999999994</v>
      </c>
      <c r="F17" s="67">
        <v>8.1549999999999994</v>
      </c>
      <c r="G17" s="56">
        <v>32.619999999999997</v>
      </c>
      <c r="H17" s="34"/>
      <c r="I17" s="78">
        <v>6.5750000000000002</v>
      </c>
      <c r="J17" s="67">
        <v>6.5750000000000002</v>
      </c>
      <c r="K17" s="67">
        <v>6.5750000000000002</v>
      </c>
      <c r="L17" s="67">
        <v>15.074999999999999</v>
      </c>
      <c r="M17" s="56">
        <v>34.799999999999997</v>
      </c>
      <c r="N17" s="34"/>
      <c r="O17" s="78">
        <v>6.125</v>
      </c>
      <c r="P17" s="67">
        <v>6.125</v>
      </c>
      <c r="Q17" s="67">
        <v>6.125</v>
      </c>
      <c r="R17" s="67">
        <v>41.625</v>
      </c>
      <c r="S17" s="56">
        <v>60</v>
      </c>
      <c r="T17" s="34"/>
      <c r="U17" s="78">
        <v>6.55</v>
      </c>
      <c r="V17" s="67">
        <v>6.55</v>
      </c>
      <c r="W17" s="67">
        <v>6.55</v>
      </c>
      <c r="X17" s="67">
        <v>6.55</v>
      </c>
      <c r="Y17" s="56">
        <v>26.2</v>
      </c>
      <c r="Z17" s="34"/>
      <c r="AA17" s="78">
        <v>8</v>
      </c>
      <c r="AB17" s="67">
        <v>9</v>
      </c>
      <c r="AC17" s="67">
        <v>9.9</v>
      </c>
      <c r="AD17" s="67">
        <v>17.399999999999999</v>
      </c>
      <c r="AE17" s="56">
        <v>44.3</v>
      </c>
      <c r="AF17" s="34"/>
      <c r="AG17" s="78">
        <v>13.1</v>
      </c>
      <c r="AH17" s="67">
        <v>13.3</v>
      </c>
      <c r="AI17" s="67">
        <v>23.2</v>
      </c>
      <c r="AJ17" s="67">
        <v>27.8</v>
      </c>
      <c r="AK17" s="56">
        <v>77.399999999999991</v>
      </c>
      <c r="AL17" s="34"/>
      <c r="AM17" s="78">
        <v>25.7</v>
      </c>
      <c r="AN17" s="67">
        <v>25.9</v>
      </c>
      <c r="AO17" s="67">
        <v>27.5</v>
      </c>
      <c r="AP17" s="67">
        <v>24.599999999999998</v>
      </c>
      <c r="AQ17" s="56">
        <v>103.69999999999999</v>
      </c>
      <c r="AR17" s="34"/>
      <c r="AS17" s="78">
        <v>27.9</v>
      </c>
      <c r="AT17" s="67">
        <v>27.2</v>
      </c>
      <c r="AU17" s="67">
        <v>28.3</v>
      </c>
      <c r="AV17" s="67">
        <v>25.6</v>
      </c>
      <c r="AW17" s="56">
        <v>109</v>
      </c>
      <c r="AX17" s="34"/>
      <c r="AY17" s="78">
        <v>28.8</v>
      </c>
      <c r="AZ17" s="67">
        <v>29.1</v>
      </c>
      <c r="BA17" s="67">
        <v>34.1</v>
      </c>
      <c r="BB17" s="67">
        <v>32.299999999999983</v>
      </c>
      <c r="BC17" s="56">
        <v>124.3</v>
      </c>
      <c r="BD17" s="34"/>
      <c r="BE17" s="78">
        <v>31.8</v>
      </c>
      <c r="BF17" s="67">
        <v>33.4</v>
      </c>
      <c r="BG17" s="67">
        <v>37.1</v>
      </c>
      <c r="BH17" s="67">
        <v>29.199999999999989</v>
      </c>
      <c r="BI17" s="56">
        <v>131.5</v>
      </c>
      <c r="BJ17" s="34"/>
      <c r="BK17" s="78">
        <v>34.1</v>
      </c>
      <c r="BL17" s="67">
        <v>37.6</v>
      </c>
      <c r="BM17" s="67">
        <v>38.5</v>
      </c>
      <c r="BN17" s="67">
        <v>42.600000000000016</v>
      </c>
      <c r="BO17" s="56">
        <v>152.80000000000001</v>
      </c>
      <c r="BP17" s="34"/>
      <c r="BQ17" s="78">
        <v>40.4</v>
      </c>
      <c r="BR17" s="67">
        <v>42.6</v>
      </c>
      <c r="BS17" s="67">
        <v>42.4</v>
      </c>
      <c r="BT17" s="67">
        <v>48.699999999999996</v>
      </c>
      <c r="BU17" s="56">
        <v>174.1</v>
      </c>
      <c r="BV17" s="34"/>
      <c r="BW17" s="78">
        <v>52</v>
      </c>
      <c r="BX17" s="79">
        <v>50.099999999999994</v>
      </c>
      <c r="BY17" s="79">
        <v>50.700000000000017</v>
      </c>
      <c r="BZ17" s="79">
        <f>CA17-BY17-BX17-BW17</f>
        <v>51.299999999999983</v>
      </c>
      <c r="CA17" s="56">
        <v>204.1</v>
      </c>
      <c r="CB17" s="34"/>
      <c r="CC17" s="78">
        <v>55.8</v>
      </c>
      <c r="CD17" s="79">
        <v>59.7</v>
      </c>
      <c r="CE17" s="79">
        <v>53.7</v>
      </c>
      <c r="CF17" s="79">
        <f>CG17-CE17-CD17-CC17</f>
        <v>52.800000000000011</v>
      </c>
      <c r="CG17" s="56">
        <v>222</v>
      </c>
      <c r="CH17" s="34"/>
      <c r="CI17" s="34"/>
      <c r="CJ17" s="34"/>
    </row>
    <row r="18" spans="1:88" s="33" customFormat="1" x14ac:dyDescent="0.2">
      <c r="A18" s="77" t="s">
        <v>108</v>
      </c>
      <c r="B18" s="67"/>
      <c r="C18" s="78"/>
      <c r="D18" s="67"/>
      <c r="E18" s="67"/>
      <c r="F18" s="67"/>
      <c r="G18" s="56"/>
      <c r="H18" s="34"/>
      <c r="I18" s="78"/>
      <c r="J18" s="67"/>
      <c r="K18" s="67"/>
      <c r="L18" s="67"/>
      <c r="M18" s="56"/>
      <c r="N18" s="34"/>
      <c r="O18" s="78"/>
      <c r="P18" s="67"/>
      <c r="Q18" s="67"/>
      <c r="R18" s="67"/>
      <c r="S18" s="56"/>
      <c r="T18" s="34"/>
      <c r="U18" s="78"/>
      <c r="V18" s="67">
        <v>18.5</v>
      </c>
      <c r="W18" s="67">
        <v>226.1</v>
      </c>
      <c r="X18" s="67"/>
      <c r="Y18" s="56">
        <v>244.6</v>
      </c>
      <c r="Z18" s="34"/>
      <c r="AA18" s="78"/>
      <c r="AB18" s="67"/>
      <c r="AC18" s="67"/>
      <c r="AD18" s="67"/>
      <c r="AE18" s="56"/>
      <c r="AF18" s="34"/>
      <c r="AG18" s="78"/>
      <c r="AH18" s="67"/>
      <c r="AI18" s="67"/>
      <c r="AJ18" s="67"/>
      <c r="AK18" s="56"/>
      <c r="AL18" s="34"/>
      <c r="AM18" s="78"/>
      <c r="AN18" s="67"/>
      <c r="AO18" s="67"/>
      <c r="AP18" s="67"/>
      <c r="AQ18" s="56"/>
      <c r="AR18" s="34"/>
      <c r="AS18" s="78"/>
      <c r="AT18" s="67"/>
      <c r="AU18" s="67"/>
      <c r="AV18" s="67"/>
      <c r="AW18" s="56"/>
      <c r="AX18" s="34"/>
      <c r="AY18" s="78"/>
      <c r="AZ18" s="67"/>
      <c r="BA18" s="67"/>
      <c r="BB18" s="67"/>
      <c r="BC18" s="56"/>
      <c r="BD18" s="34"/>
      <c r="BE18" s="78"/>
      <c r="BF18" s="67"/>
      <c r="BG18" s="67"/>
      <c r="BH18" s="67"/>
      <c r="BI18" s="56"/>
      <c r="BJ18" s="34"/>
      <c r="BK18" s="78"/>
      <c r="BL18" s="67"/>
      <c r="BM18" s="67"/>
      <c r="BN18" s="67"/>
      <c r="BO18" s="56"/>
      <c r="BP18" s="34"/>
      <c r="BQ18" s="78"/>
      <c r="BR18" s="67"/>
      <c r="BS18" s="67"/>
      <c r="BT18" s="67"/>
      <c r="BU18" s="56"/>
      <c r="BV18" s="34"/>
      <c r="BW18" s="78"/>
      <c r="BX18" s="79"/>
      <c r="BY18" s="79"/>
      <c r="BZ18" s="79"/>
      <c r="CA18" s="56"/>
      <c r="CB18" s="34"/>
      <c r="CC18" s="78"/>
      <c r="CD18" s="79"/>
      <c r="CE18" s="79"/>
      <c r="CF18" s="79"/>
      <c r="CG18" s="56"/>
      <c r="CH18" s="34"/>
      <c r="CI18" s="34"/>
      <c r="CJ18" s="34"/>
    </row>
    <row r="19" spans="1:88" ht="5.25" customHeight="1" x14ac:dyDescent="0.2">
      <c r="A19" s="31"/>
      <c r="B19" s="72"/>
      <c r="C19" s="73"/>
      <c r="D19" s="72"/>
      <c r="E19" s="72"/>
      <c r="F19" s="72"/>
      <c r="G19" s="75"/>
      <c r="H19" s="2"/>
      <c r="I19" s="73"/>
      <c r="J19" s="72"/>
      <c r="K19" s="72"/>
      <c r="L19" s="72"/>
      <c r="M19" s="75"/>
      <c r="N19" s="2"/>
      <c r="O19" s="73"/>
      <c r="P19" s="72"/>
      <c r="Q19" s="72"/>
      <c r="R19" s="72"/>
      <c r="S19" s="75"/>
      <c r="T19" s="2"/>
      <c r="U19" s="73"/>
      <c r="V19" s="72"/>
      <c r="W19" s="72"/>
      <c r="X19" s="72"/>
      <c r="Y19" s="75"/>
      <c r="Z19" s="2"/>
      <c r="AA19" s="73"/>
      <c r="AB19" s="72"/>
      <c r="AC19" s="72"/>
      <c r="AD19" s="72"/>
      <c r="AE19" s="75"/>
      <c r="AF19" s="2"/>
      <c r="AG19" s="73"/>
      <c r="AH19" s="72"/>
      <c r="AI19" s="72"/>
      <c r="AJ19" s="72"/>
      <c r="AK19" s="75"/>
      <c r="AL19" s="2"/>
      <c r="AM19" s="73"/>
      <c r="AN19" s="72"/>
      <c r="AO19" s="72"/>
      <c r="AP19" s="72"/>
      <c r="AQ19" s="75"/>
      <c r="AR19" s="2"/>
      <c r="AS19" s="73"/>
      <c r="AT19" s="72"/>
      <c r="AU19" s="72"/>
      <c r="AV19" s="72"/>
      <c r="AW19" s="75"/>
      <c r="AX19" s="2"/>
      <c r="AY19" s="73"/>
      <c r="AZ19" s="72"/>
      <c r="BA19" s="72"/>
      <c r="BB19" s="72"/>
      <c r="BC19" s="75"/>
      <c r="BD19" s="2"/>
      <c r="BE19" s="73"/>
      <c r="BF19" s="72"/>
      <c r="BG19" s="72"/>
      <c r="BH19" s="72"/>
      <c r="BI19" s="75"/>
      <c r="BJ19" s="2"/>
      <c r="BK19" s="73"/>
      <c r="BL19" s="72"/>
      <c r="BM19" s="72"/>
      <c r="BN19" s="72"/>
      <c r="BO19" s="75"/>
      <c r="BP19" s="62"/>
      <c r="BQ19" s="73"/>
      <c r="BR19" s="72"/>
      <c r="BS19" s="72"/>
      <c r="BT19" s="72"/>
      <c r="BU19" s="75"/>
      <c r="BV19" s="62"/>
      <c r="BW19" s="73"/>
      <c r="BX19" s="76"/>
      <c r="BY19" s="76"/>
      <c r="BZ19" s="76"/>
      <c r="CA19" s="75"/>
      <c r="CB19" s="62"/>
      <c r="CC19" s="73"/>
      <c r="CD19" s="76"/>
      <c r="CE19" s="76"/>
      <c r="CF19" s="76"/>
      <c r="CG19" s="75"/>
      <c r="CH19" s="2"/>
      <c r="CI19" s="2"/>
      <c r="CJ19" s="2"/>
    </row>
    <row r="20" spans="1:88" s="33" customFormat="1" x14ac:dyDescent="0.2">
      <c r="A20" s="66" t="s">
        <v>21</v>
      </c>
      <c r="B20" s="67"/>
      <c r="C20" s="68">
        <v>62.600000000000009</v>
      </c>
      <c r="D20" s="69">
        <v>90.1</v>
      </c>
      <c r="E20" s="69">
        <v>109.29999999999994</v>
      </c>
      <c r="F20" s="69">
        <v>110.1</v>
      </c>
      <c r="G20" s="70">
        <v>372.09999999999991</v>
      </c>
      <c r="H20" s="34"/>
      <c r="I20" s="68">
        <v>69.200000000000017</v>
      </c>
      <c r="J20" s="69">
        <v>102.59999999999998</v>
      </c>
      <c r="K20" s="69">
        <v>90.400000000000034</v>
      </c>
      <c r="L20" s="69">
        <v>132.00000000000011</v>
      </c>
      <c r="M20" s="70">
        <v>394.2000000000001</v>
      </c>
      <c r="N20" s="34"/>
      <c r="O20" s="68">
        <v>70.499999999999986</v>
      </c>
      <c r="P20" s="69">
        <v>94.5</v>
      </c>
      <c r="Q20" s="69">
        <v>153.6</v>
      </c>
      <c r="R20" s="69">
        <v>100.90000000000003</v>
      </c>
      <c r="S20" s="70">
        <v>419.49999999999994</v>
      </c>
      <c r="T20" s="34"/>
      <c r="U20" s="68">
        <v>75.499999999999972</v>
      </c>
      <c r="V20" s="69">
        <v>98.5</v>
      </c>
      <c r="W20" s="69">
        <v>-74.099999999999937</v>
      </c>
      <c r="X20" s="69">
        <v>115.50000000000004</v>
      </c>
      <c r="Y20" s="70">
        <v>215.39999999999995</v>
      </c>
      <c r="Z20" s="34"/>
      <c r="AA20" s="68">
        <v>110.1</v>
      </c>
      <c r="AB20" s="69">
        <v>170.30000000000007</v>
      </c>
      <c r="AC20" s="69">
        <v>191.89999999999995</v>
      </c>
      <c r="AD20" s="69">
        <v>147.90000000000003</v>
      </c>
      <c r="AE20" s="70">
        <v>620.19999999999993</v>
      </c>
      <c r="AF20" s="34"/>
      <c r="AG20" s="68">
        <v>121.09999999999997</v>
      </c>
      <c r="AH20" s="69">
        <v>164.79999999999995</v>
      </c>
      <c r="AI20" s="69">
        <v>169.7999999999999</v>
      </c>
      <c r="AJ20" s="69">
        <v>204.19999999999996</v>
      </c>
      <c r="AK20" s="70">
        <v>659.9</v>
      </c>
      <c r="AL20" s="34"/>
      <c r="AM20" s="68">
        <v>89.000000000000014</v>
      </c>
      <c r="AN20" s="69">
        <v>145.8000000000001</v>
      </c>
      <c r="AO20" s="69">
        <v>188.10000000000008</v>
      </c>
      <c r="AP20" s="69">
        <v>174.40000000000009</v>
      </c>
      <c r="AQ20" s="70">
        <v>597.29999999999995</v>
      </c>
      <c r="AR20" s="34"/>
      <c r="AS20" s="68">
        <v>79.099999999999966</v>
      </c>
      <c r="AT20" s="69">
        <v>131.09999999999991</v>
      </c>
      <c r="AU20" s="69">
        <v>177.39999999999989</v>
      </c>
      <c r="AV20" s="69">
        <v>239.9</v>
      </c>
      <c r="AW20" s="70">
        <v>627.50000000000023</v>
      </c>
      <c r="AX20" s="34"/>
      <c r="AY20" s="68">
        <v>75.60000000000008</v>
      </c>
      <c r="AZ20" s="69">
        <v>210.90000000000003</v>
      </c>
      <c r="BA20" s="69">
        <v>289.80000000000013</v>
      </c>
      <c r="BB20" s="69">
        <v>314.40000000000009</v>
      </c>
      <c r="BC20" s="70">
        <v>890.69999999999959</v>
      </c>
      <c r="BD20" s="34"/>
      <c r="BE20" s="68">
        <v>121.40000000000005</v>
      </c>
      <c r="BF20" s="69">
        <v>285.10000000000008</v>
      </c>
      <c r="BG20" s="69">
        <v>294.09999999999991</v>
      </c>
      <c r="BH20" s="69">
        <v>287.09999999999962</v>
      </c>
      <c r="BI20" s="70">
        <v>987.69999999999959</v>
      </c>
      <c r="BJ20" s="34"/>
      <c r="BK20" s="68">
        <v>123.90000000000009</v>
      </c>
      <c r="BL20" s="69">
        <v>268.00000000000006</v>
      </c>
      <c r="BM20" s="69">
        <v>264.70000000000022</v>
      </c>
      <c r="BN20" s="69">
        <v>258.90000000000043</v>
      </c>
      <c r="BO20" s="70">
        <v>915.50000000000023</v>
      </c>
      <c r="BP20" s="34"/>
      <c r="BQ20" s="68">
        <v>101.39999999999995</v>
      </c>
      <c r="BR20" s="69">
        <v>264.19999999999987</v>
      </c>
      <c r="BS20" s="69">
        <v>365.6</v>
      </c>
      <c r="BT20" s="69">
        <v>347.20000000000232</v>
      </c>
      <c r="BU20" s="70">
        <v>1078.4000000000015</v>
      </c>
      <c r="BV20" s="34"/>
      <c r="BW20" s="68">
        <f>BW14-BW17-BW18</f>
        <v>154.60000000000002</v>
      </c>
      <c r="BX20" s="71">
        <f>BX14-BX17</f>
        <v>301.99999999999955</v>
      </c>
      <c r="BY20" s="71">
        <f>BY14-BY17</f>
        <v>364.00000000000011</v>
      </c>
      <c r="BZ20" s="71">
        <f>BZ14-BZ17</f>
        <v>356.69999999999902</v>
      </c>
      <c r="CA20" s="70">
        <f>CA14-CA17</f>
        <v>1177.2999999999988</v>
      </c>
      <c r="CB20" s="34"/>
      <c r="CC20" s="68">
        <f>CC14-CC17-CC18</f>
        <v>172.50000000000006</v>
      </c>
      <c r="CD20" s="71">
        <f>CD14-CD17-CD18</f>
        <v>227.99999999999983</v>
      </c>
      <c r="CE20" s="71">
        <f>CE14-CE17-CE18</f>
        <v>447.29999999999978</v>
      </c>
      <c r="CF20" s="71">
        <f>CF14-CF17-CF18</f>
        <v>452.39999999999924</v>
      </c>
      <c r="CG20" s="70">
        <f>CG14-CG17-CG18</f>
        <v>1300.1999999999989</v>
      </c>
      <c r="CH20" s="34"/>
      <c r="CI20" s="34"/>
      <c r="CJ20" s="34"/>
    </row>
    <row r="21" spans="1:88" ht="5.25" customHeight="1" x14ac:dyDescent="0.2">
      <c r="A21" s="31"/>
      <c r="B21" s="72"/>
      <c r="C21" s="73"/>
      <c r="D21" s="72"/>
      <c r="E21" s="72"/>
      <c r="F21" s="72"/>
      <c r="G21" s="75"/>
      <c r="H21" s="2"/>
      <c r="I21" s="73"/>
      <c r="J21" s="72"/>
      <c r="K21" s="72"/>
      <c r="L21" s="72"/>
      <c r="M21" s="75"/>
      <c r="N21" s="2"/>
      <c r="O21" s="73"/>
      <c r="P21" s="72"/>
      <c r="Q21" s="72"/>
      <c r="R21" s="72"/>
      <c r="S21" s="75"/>
      <c r="T21" s="2"/>
      <c r="U21" s="73"/>
      <c r="V21" s="72"/>
      <c r="W21" s="72"/>
      <c r="X21" s="72"/>
      <c r="Y21" s="75"/>
      <c r="Z21" s="2"/>
      <c r="AA21" s="73"/>
      <c r="AB21" s="72"/>
      <c r="AC21" s="72"/>
      <c r="AD21" s="72"/>
      <c r="AE21" s="75"/>
      <c r="AF21" s="2"/>
      <c r="AG21" s="73"/>
      <c r="AH21" s="72"/>
      <c r="AI21" s="72"/>
      <c r="AJ21" s="72"/>
      <c r="AK21" s="75"/>
      <c r="AL21" s="2"/>
      <c r="AM21" s="73"/>
      <c r="AN21" s="72"/>
      <c r="AO21" s="72"/>
      <c r="AP21" s="72"/>
      <c r="AQ21" s="75"/>
      <c r="AR21" s="2"/>
      <c r="AS21" s="73"/>
      <c r="AT21" s="72"/>
      <c r="AU21" s="72"/>
      <c r="AV21" s="72"/>
      <c r="AW21" s="75"/>
      <c r="AX21" s="2"/>
      <c r="AY21" s="73"/>
      <c r="AZ21" s="72"/>
      <c r="BA21" s="72"/>
      <c r="BB21" s="72"/>
      <c r="BC21" s="75"/>
      <c r="BD21" s="2"/>
      <c r="BE21" s="73"/>
      <c r="BF21" s="72"/>
      <c r="BG21" s="72"/>
      <c r="BH21" s="72"/>
      <c r="BI21" s="75"/>
      <c r="BJ21" s="2"/>
      <c r="BK21" s="73"/>
      <c r="BL21" s="72"/>
      <c r="BM21" s="72"/>
      <c r="BN21" s="72"/>
      <c r="BO21" s="75"/>
      <c r="BP21" s="62"/>
      <c r="BQ21" s="73"/>
      <c r="BR21" s="72"/>
      <c r="BS21" s="72"/>
      <c r="BT21" s="72"/>
      <c r="BU21" s="75"/>
      <c r="BV21" s="2"/>
      <c r="BW21" s="73"/>
      <c r="BX21" s="76"/>
      <c r="BY21" s="76"/>
      <c r="BZ21" s="76"/>
      <c r="CA21" s="75"/>
      <c r="CB21" s="2"/>
      <c r="CC21" s="73"/>
      <c r="CD21" s="76"/>
      <c r="CE21" s="76"/>
      <c r="CF21" s="76"/>
      <c r="CG21" s="75"/>
      <c r="CH21" s="2"/>
      <c r="CI21" s="2"/>
      <c r="CJ21" s="2"/>
    </row>
    <row r="22" spans="1:88" s="33" customFormat="1" x14ac:dyDescent="0.2">
      <c r="A22" s="77" t="s">
        <v>22</v>
      </c>
      <c r="B22" s="67"/>
      <c r="C22" s="78">
        <v>-2.5</v>
      </c>
      <c r="D22" s="67">
        <v>-3.8</v>
      </c>
      <c r="E22" s="67">
        <v>-5.3</v>
      </c>
      <c r="F22" s="67">
        <v>8.8000000000000007</v>
      </c>
      <c r="G22" s="56">
        <v>-2.7999999999999989</v>
      </c>
      <c r="H22" s="34"/>
      <c r="I22" s="78">
        <v>-3.9</v>
      </c>
      <c r="J22" s="67">
        <v>-6.4</v>
      </c>
      <c r="K22" s="67">
        <v>-8.1999999999999993</v>
      </c>
      <c r="L22" s="67">
        <v>-5.6000000000000014</v>
      </c>
      <c r="M22" s="56">
        <v>-24.1</v>
      </c>
      <c r="N22" s="34"/>
      <c r="O22" s="78">
        <v>65.099999999999994</v>
      </c>
      <c r="P22" s="67">
        <v>-5</v>
      </c>
      <c r="Q22" s="67">
        <v>11.9</v>
      </c>
      <c r="R22" s="67">
        <v>27</v>
      </c>
      <c r="S22" s="56">
        <v>99</v>
      </c>
      <c r="T22" s="34"/>
      <c r="U22" s="78">
        <v>-3</v>
      </c>
      <c r="V22" s="67">
        <v>-3.3</v>
      </c>
      <c r="W22" s="67">
        <v>-3.3</v>
      </c>
      <c r="X22" s="67">
        <v>2.8</v>
      </c>
      <c r="Y22" s="56">
        <v>-6.8</v>
      </c>
      <c r="Z22" s="34"/>
      <c r="AA22" s="78">
        <v>-8</v>
      </c>
      <c r="AB22" s="67">
        <v>-9</v>
      </c>
      <c r="AC22" s="67">
        <v>-8</v>
      </c>
      <c r="AD22" s="67">
        <v>3.3</v>
      </c>
      <c r="AE22" s="56">
        <v>-21.7</v>
      </c>
      <c r="AF22" s="34"/>
      <c r="AG22" s="78">
        <v>-6.9</v>
      </c>
      <c r="AH22" s="67">
        <v>-6.1</v>
      </c>
      <c r="AI22" s="67">
        <v>-9.4</v>
      </c>
      <c r="AJ22" s="67">
        <v>-9.1000000000000014</v>
      </c>
      <c r="AK22" s="56">
        <v>-31.5</v>
      </c>
      <c r="AL22" s="34"/>
      <c r="AM22" s="78">
        <v>-9.1999999999999993</v>
      </c>
      <c r="AN22" s="67">
        <v>-9.1999999999999993</v>
      </c>
      <c r="AO22" s="67">
        <v>-8.8000000000000007</v>
      </c>
      <c r="AP22" s="67">
        <v>-12.7</v>
      </c>
      <c r="AQ22" s="56">
        <v>-39.9</v>
      </c>
      <c r="AR22" s="34"/>
      <c r="AS22" s="78">
        <v>-8.8000000000000007</v>
      </c>
      <c r="AT22" s="67">
        <v>-8.1999999999999993</v>
      </c>
      <c r="AU22" s="67">
        <v>-8.1999999999999993</v>
      </c>
      <c r="AV22" s="67">
        <v>1.1000000000000001</v>
      </c>
      <c r="AW22" s="56">
        <v>-24.099999999999998</v>
      </c>
      <c r="AX22" s="34"/>
      <c r="AY22" s="78">
        <v>-8</v>
      </c>
      <c r="AZ22" s="67">
        <v>-7.2</v>
      </c>
      <c r="BA22" s="67">
        <v>-7</v>
      </c>
      <c r="BB22" s="67">
        <v>-2.5</v>
      </c>
      <c r="BC22" s="56">
        <v>-24.7</v>
      </c>
      <c r="BD22" s="34"/>
      <c r="BE22" s="78">
        <v>-4.0999999999999996</v>
      </c>
      <c r="BF22" s="67">
        <v>8.1</v>
      </c>
      <c r="BG22" s="67">
        <v>31.7</v>
      </c>
      <c r="BH22" s="67">
        <v>-15.300000000000004</v>
      </c>
      <c r="BI22" s="56">
        <v>20.399999999999999</v>
      </c>
      <c r="BJ22" s="34"/>
      <c r="BK22" s="78">
        <v>-3.1</v>
      </c>
      <c r="BL22" s="67">
        <v>9.1</v>
      </c>
      <c r="BM22" s="67">
        <v>4.3</v>
      </c>
      <c r="BN22" s="67">
        <v>-38.699999999999996</v>
      </c>
      <c r="BO22" s="56">
        <v>-28.4</v>
      </c>
      <c r="BP22" s="34"/>
      <c r="BQ22" s="78">
        <v>6</v>
      </c>
      <c r="BR22" s="67">
        <v>-11</v>
      </c>
      <c r="BS22" s="67">
        <v>-8.1999999999999993</v>
      </c>
      <c r="BT22" s="67">
        <v>-32.5</v>
      </c>
      <c r="BU22" s="56">
        <v>-45.7</v>
      </c>
      <c r="BV22" s="34"/>
      <c r="BW22" s="78">
        <f>2.6-10</f>
        <v>-7.4</v>
      </c>
      <c r="BX22" s="79">
        <v>-17</v>
      </c>
      <c r="BY22" s="79">
        <v>-26.5</v>
      </c>
      <c r="BZ22" s="79">
        <f>CA22-BY22-BX22-BW22</f>
        <v>4.0000000000000018</v>
      </c>
      <c r="CA22" s="56">
        <v>-46.9</v>
      </c>
      <c r="CB22" s="34"/>
      <c r="CC22" s="78">
        <v>-206.4</v>
      </c>
      <c r="CD22" s="79">
        <v>30.8</v>
      </c>
      <c r="CE22" s="79">
        <v>-44.6</v>
      </c>
      <c r="CF22" s="79">
        <f>CG22-CE22-CD22-CC22</f>
        <v>-9.6000000000000227</v>
      </c>
      <c r="CG22" s="56">
        <v>-229.8</v>
      </c>
      <c r="CH22" s="34"/>
      <c r="CI22" s="34"/>
      <c r="CJ22" s="34"/>
    </row>
    <row r="23" spans="1:88" ht="5.25" customHeight="1" x14ac:dyDescent="0.2">
      <c r="A23" s="31"/>
      <c r="B23" s="72"/>
      <c r="C23" s="73"/>
      <c r="D23" s="72"/>
      <c r="E23" s="72"/>
      <c r="F23" s="72"/>
      <c r="G23" s="74"/>
      <c r="H23" s="2"/>
      <c r="I23" s="73"/>
      <c r="J23" s="72"/>
      <c r="K23" s="72"/>
      <c r="L23" s="72"/>
      <c r="M23" s="74"/>
      <c r="N23" s="2"/>
      <c r="O23" s="73"/>
      <c r="P23" s="72"/>
      <c r="Q23" s="72"/>
      <c r="R23" s="72"/>
      <c r="S23" s="74"/>
      <c r="T23" s="2"/>
      <c r="U23" s="73"/>
      <c r="V23" s="72"/>
      <c r="W23" s="72"/>
      <c r="X23" s="72"/>
      <c r="Y23" s="74"/>
      <c r="Z23" s="2"/>
      <c r="AA23" s="73"/>
      <c r="AB23" s="72"/>
      <c r="AC23" s="72"/>
      <c r="AD23" s="72"/>
      <c r="AE23" s="74"/>
      <c r="AF23" s="2"/>
      <c r="AG23" s="73"/>
      <c r="AH23" s="72"/>
      <c r="AI23" s="72"/>
      <c r="AJ23" s="72"/>
      <c r="AK23" s="74"/>
      <c r="AL23" s="2"/>
      <c r="AM23" s="73"/>
      <c r="AN23" s="72"/>
      <c r="AO23" s="72"/>
      <c r="AP23" s="72"/>
      <c r="AQ23" s="74"/>
      <c r="AR23" s="2"/>
      <c r="AS23" s="73"/>
      <c r="AT23" s="72"/>
      <c r="AU23" s="72"/>
      <c r="AV23" s="72"/>
      <c r="AW23" s="74"/>
      <c r="AX23" s="2"/>
      <c r="AY23" s="73"/>
      <c r="AZ23" s="72"/>
      <c r="BA23" s="72"/>
      <c r="BB23" s="72"/>
      <c r="BC23" s="74"/>
      <c r="BD23" s="2"/>
      <c r="BE23" s="73"/>
      <c r="BF23" s="72"/>
      <c r="BG23" s="72"/>
      <c r="BH23" s="72"/>
      <c r="BI23" s="74"/>
      <c r="BJ23" s="2"/>
      <c r="BK23" s="73"/>
      <c r="BL23" s="72"/>
      <c r="BM23" s="72"/>
      <c r="BN23" s="72"/>
      <c r="BO23" s="75"/>
      <c r="BP23" s="62"/>
      <c r="BQ23" s="73"/>
      <c r="BR23" s="72"/>
      <c r="BS23" s="72"/>
      <c r="BT23" s="72"/>
      <c r="BU23" s="75"/>
      <c r="BV23" s="2"/>
      <c r="BW23" s="73"/>
      <c r="BX23" s="76"/>
      <c r="BY23" s="76"/>
      <c r="BZ23" s="76"/>
      <c r="CA23" s="75"/>
      <c r="CB23" s="2"/>
      <c r="CC23" s="73"/>
      <c r="CD23" s="76"/>
      <c r="CE23" s="76"/>
      <c r="CF23" s="76"/>
      <c r="CG23" s="75"/>
      <c r="CH23" s="2"/>
      <c r="CI23" s="2"/>
      <c r="CJ23" s="2"/>
    </row>
    <row r="24" spans="1:88" s="33" customFormat="1" x14ac:dyDescent="0.2">
      <c r="A24" s="66" t="s">
        <v>23</v>
      </c>
      <c r="B24" s="67"/>
      <c r="C24" s="68">
        <v>60.100000000000009</v>
      </c>
      <c r="D24" s="69">
        <v>86.3</v>
      </c>
      <c r="E24" s="69">
        <v>103.99999999999994</v>
      </c>
      <c r="F24" s="69">
        <v>118.89999999999999</v>
      </c>
      <c r="G24" s="70">
        <v>369.2999999999999</v>
      </c>
      <c r="H24" s="34"/>
      <c r="I24" s="68">
        <v>65.300000000000011</v>
      </c>
      <c r="J24" s="69">
        <v>96.199999999999974</v>
      </c>
      <c r="K24" s="69">
        <v>82.200000000000031</v>
      </c>
      <c r="L24" s="69">
        <v>126.40000000000012</v>
      </c>
      <c r="M24" s="70">
        <v>370.10000000000008</v>
      </c>
      <c r="N24" s="34"/>
      <c r="O24" s="68">
        <v>135.59999999999997</v>
      </c>
      <c r="P24" s="69">
        <v>89.5</v>
      </c>
      <c r="Q24" s="69">
        <v>165.5</v>
      </c>
      <c r="R24" s="69">
        <v>127.90000000000003</v>
      </c>
      <c r="S24" s="70">
        <v>518.5</v>
      </c>
      <c r="T24" s="34"/>
      <c r="U24" s="68">
        <v>72.499999999999972</v>
      </c>
      <c r="V24" s="69">
        <v>95.2</v>
      </c>
      <c r="W24" s="69">
        <v>-77.399999999999935</v>
      </c>
      <c r="X24" s="69">
        <v>118.30000000000004</v>
      </c>
      <c r="Y24" s="70">
        <v>208.59999999999994</v>
      </c>
      <c r="Z24" s="34"/>
      <c r="AA24" s="68">
        <v>102.1</v>
      </c>
      <c r="AB24" s="69">
        <v>161.30000000000007</v>
      </c>
      <c r="AC24" s="69">
        <v>183.89999999999995</v>
      </c>
      <c r="AD24" s="69">
        <v>151.20000000000005</v>
      </c>
      <c r="AE24" s="70">
        <v>598.49999999999989</v>
      </c>
      <c r="AF24" s="34"/>
      <c r="AG24" s="68">
        <v>114.19999999999996</v>
      </c>
      <c r="AH24" s="69">
        <v>158.69999999999996</v>
      </c>
      <c r="AI24" s="69">
        <v>160.39999999999989</v>
      </c>
      <c r="AJ24" s="69">
        <v>195.09999999999997</v>
      </c>
      <c r="AK24" s="70">
        <v>628.4</v>
      </c>
      <c r="AL24" s="34"/>
      <c r="AM24" s="68">
        <v>79.800000000000011</v>
      </c>
      <c r="AN24" s="69">
        <v>136.60000000000011</v>
      </c>
      <c r="AO24" s="69">
        <v>179.30000000000007</v>
      </c>
      <c r="AP24" s="69">
        <v>161.7000000000001</v>
      </c>
      <c r="AQ24" s="70">
        <v>557.4</v>
      </c>
      <c r="AR24" s="34"/>
      <c r="AS24" s="68">
        <v>70.299999999999969</v>
      </c>
      <c r="AT24" s="69">
        <v>122.89999999999991</v>
      </c>
      <c r="AU24" s="69">
        <v>169.1999999999999</v>
      </c>
      <c r="AV24" s="69">
        <v>241</v>
      </c>
      <c r="AW24" s="70">
        <v>603.4000000000002</v>
      </c>
      <c r="AX24" s="34"/>
      <c r="AY24" s="68">
        <v>67.60000000000008</v>
      </c>
      <c r="AZ24" s="69">
        <v>203.70000000000005</v>
      </c>
      <c r="BA24" s="69">
        <v>282.80000000000013</v>
      </c>
      <c r="BB24" s="69">
        <v>311.90000000000009</v>
      </c>
      <c r="BC24" s="70">
        <v>865.99999999999955</v>
      </c>
      <c r="BD24" s="34"/>
      <c r="BE24" s="68">
        <v>117.30000000000005</v>
      </c>
      <c r="BF24" s="69">
        <v>293.2000000000001</v>
      </c>
      <c r="BG24" s="69">
        <v>325.7999999999999</v>
      </c>
      <c r="BH24" s="69">
        <v>271.79999999999961</v>
      </c>
      <c r="BI24" s="70">
        <v>1008.0999999999996</v>
      </c>
      <c r="BJ24" s="34"/>
      <c r="BK24" s="68">
        <v>120.8000000000001</v>
      </c>
      <c r="BL24" s="69">
        <v>277.10000000000008</v>
      </c>
      <c r="BM24" s="69">
        <v>269.00000000000023</v>
      </c>
      <c r="BN24" s="69">
        <v>220.20000000000044</v>
      </c>
      <c r="BO24" s="70">
        <v>887.10000000000025</v>
      </c>
      <c r="BP24" s="34"/>
      <c r="BQ24" s="68">
        <v>107.39999999999995</v>
      </c>
      <c r="BR24" s="69">
        <v>253.19999999999987</v>
      </c>
      <c r="BS24" s="69">
        <v>357.40000000000003</v>
      </c>
      <c r="BT24" s="69">
        <v>314.70000000000232</v>
      </c>
      <c r="BU24" s="70">
        <v>1032.7000000000014</v>
      </c>
      <c r="BV24" s="34"/>
      <c r="BW24" s="68">
        <f>BW20+BW22</f>
        <v>147.20000000000002</v>
      </c>
      <c r="BX24" s="71">
        <f>BX20+BX22</f>
        <v>284.99999999999955</v>
      </c>
      <c r="BY24" s="71">
        <f>BY20+BY22</f>
        <v>337.50000000000011</v>
      </c>
      <c r="BZ24" s="71">
        <f>BZ20+BZ22</f>
        <v>360.69999999999902</v>
      </c>
      <c r="CA24" s="70">
        <f>CA20+CA22</f>
        <v>1130.3999999999987</v>
      </c>
      <c r="CB24" s="34"/>
      <c r="CC24" s="68">
        <f>CC20+CC22</f>
        <v>-33.899999999999949</v>
      </c>
      <c r="CD24" s="71">
        <f>CD20+CD22</f>
        <v>258.79999999999984</v>
      </c>
      <c r="CE24" s="71">
        <f>CE20+CE22</f>
        <v>402.69999999999976</v>
      </c>
      <c r="CF24" s="71">
        <f>CF20+CF22</f>
        <v>442.79999999999922</v>
      </c>
      <c r="CG24" s="70">
        <f>CG20+CG22</f>
        <v>1070.399999999999</v>
      </c>
      <c r="CH24" s="34"/>
      <c r="CI24" s="34"/>
      <c r="CJ24" s="34"/>
    </row>
    <row r="25" spans="1:88" x14ac:dyDescent="0.2">
      <c r="A25" s="32" t="s">
        <v>17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2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  <c r="CJ25" s="2"/>
    </row>
    <row r="26" spans="1:88" ht="5.25" customHeight="1" x14ac:dyDescent="0.2">
      <c r="A26" s="31"/>
      <c r="B26" s="72"/>
      <c r="C26" s="73"/>
      <c r="D26" s="72"/>
      <c r="E26" s="72"/>
      <c r="F26" s="72"/>
      <c r="G26" s="74"/>
      <c r="H26" s="2"/>
      <c r="I26" s="73"/>
      <c r="J26" s="72"/>
      <c r="K26" s="72"/>
      <c r="L26" s="72"/>
      <c r="M26" s="74"/>
      <c r="N26" s="2"/>
      <c r="O26" s="73"/>
      <c r="P26" s="72"/>
      <c r="Q26" s="72"/>
      <c r="R26" s="72"/>
      <c r="S26" s="74"/>
      <c r="T26" s="2"/>
      <c r="U26" s="73"/>
      <c r="V26" s="72"/>
      <c r="W26" s="72"/>
      <c r="X26" s="72"/>
      <c r="Y26" s="74"/>
      <c r="Z26" s="2"/>
      <c r="AA26" s="73"/>
      <c r="AB26" s="72"/>
      <c r="AC26" s="72"/>
      <c r="AD26" s="72"/>
      <c r="AE26" s="74"/>
      <c r="AF26" s="2"/>
      <c r="AG26" s="73"/>
      <c r="AH26" s="72"/>
      <c r="AI26" s="72"/>
      <c r="AJ26" s="72"/>
      <c r="AK26" s="74"/>
      <c r="AL26" s="2"/>
      <c r="AM26" s="73"/>
      <c r="AN26" s="72"/>
      <c r="AO26" s="72"/>
      <c r="AP26" s="72"/>
      <c r="AQ26" s="74"/>
      <c r="AR26" s="2"/>
      <c r="AS26" s="73"/>
      <c r="AT26" s="72"/>
      <c r="AU26" s="72"/>
      <c r="AV26" s="72"/>
      <c r="AW26" s="74"/>
      <c r="AX26" s="2"/>
      <c r="AY26" s="73"/>
      <c r="AZ26" s="72"/>
      <c r="BA26" s="72"/>
      <c r="BB26" s="72"/>
      <c r="BC26" s="74"/>
      <c r="BD26" s="2"/>
      <c r="BE26" s="73"/>
      <c r="BF26" s="72"/>
      <c r="BG26" s="72"/>
      <c r="BH26" s="72"/>
      <c r="BI26" s="74"/>
      <c r="BJ26" s="2"/>
      <c r="BK26" s="73"/>
      <c r="BL26" s="72"/>
      <c r="BM26" s="72"/>
      <c r="BN26" s="72"/>
      <c r="BO26" s="75"/>
      <c r="BP26" s="62"/>
      <c r="BQ26" s="73"/>
      <c r="BR26" s="72"/>
      <c r="BS26" s="72"/>
      <c r="BT26" s="72"/>
      <c r="BU26" s="75"/>
      <c r="BV26" s="2"/>
      <c r="BW26" s="73"/>
      <c r="BX26" s="76"/>
      <c r="BY26" s="76"/>
      <c r="BZ26" s="76"/>
      <c r="CA26" s="75"/>
      <c r="CB26" s="2"/>
      <c r="CC26" s="73"/>
      <c r="CD26" s="76"/>
      <c r="CE26" s="76"/>
      <c r="CF26" s="76"/>
      <c r="CG26" s="75"/>
      <c r="CH26" s="2"/>
      <c r="CI26" s="2"/>
      <c r="CJ26" s="2"/>
    </row>
    <row r="27" spans="1:88" s="33" customFormat="1" x14ac:dyDescent="0.2">
      <c r="A27" s="77" t="s">
        <v>24</v>
      </c>
      <c r="B27" s="67"/>
      <c r="C27" s="78">
        <v>18.8</v>
      </c>
      <c r="D27" s="67">
        <v>29.5</v>
      </c>
      <c r="E27" s="67">
        <v>34.5</v>
      </c>
      <c r="F27" s="67">
        <v>39.799999999999997</v>
      </c>
      <c r="G27" s="56">
        <v>122.6</v>
      </c>
      <c r="H27" s="34"/>
      <c r="I27" s="78">
        <v>21.6</v>
      </c>
      <c r="J27" s="67">
        <v>31.6</v>
      </c>
      <c r="K27" s="67">
        <v>25.9</v>
      </c>
      <c r="L27" s="67">
        <v>37.200000000000017</v>
      </c>
      <c r="M27" s="56">
        <v>116.30000000000001</v>
      </c>
      <c r="N27" s="34"/>
      <c r="O27" s="78">
        <v>47.7</v>
      </c>
      <c r="P27" s="67">
        <v>31.9</v>
      </c>
      <c r="Q27" s="67">
        <v>57.8</v>
      </c>
      <c r="R27" s="67">
        <v>34.799999999999997</v>
      </c>
      <c r="S27" s="56">
        <v>172.2</v>
      </c>
      <c r="T27" s="34"/>
      <c r="U27" s="78">
        <v>22.7</v>
      </c>
      <c r="V27" s="67">
        <v>28.700000000000003</v>
      </c>
      <c r="W27" s="67">
        <v>45.5</v>
      </c>
      <c r="X27" s="67">
        <v>32.120000000000005</v>
      </c>
      <c r="Y27" s="56">
        <v>129.02000000000001</v>
      </c>
      <c r="Z27" s="34"/>
      <c r="AA27" s="78">
        <v>32.299999999999997</v>
      </c>
      <c r="AB27" s="67">
        <v>49.8</v>
      </c>
      <c r="AC27" s="67">
        <v>56.9</v>
      </c>
      <c r="AD27" s="67">
        <v>23.599999999999998</v>
      </c>
      <c r="AE27" s="56">
        <v>162.6</v>
      </c>
      <c r="AF27" s="34"/>
      <c r="AG27" s="78">
        <v>33.4</v>
      </c>
      <c r="AH27" s="67">
        <v>47.4</v>
      </c>
      <c r="AI27" s="67">
        <v>47.899999999999991</v>
      </c>
      <c r="AJ27" s="67">
        <v>24</v>
      </c>
      <c r="AK27" s="56">
        <v>152.69999999999999</v>
      </c>
      <c r="AL27" s="34"/>
      <c r="AM27" s="78">
        <v>20.2</v>
      </c>
      <c r="AN27" s="67">
        <v>35.799999999999997</v>
      </c>
      <c r="AO27" s="67">
        <v>46.9</v>
      </c>
      <c r="AP27" s="67">
        <v>35.1</v>
      </c>
      <c r="AQ27" s="56">
        <v>138</v>
      </c>
      <c r="AR27" s="34"/>
      <c r="AS27" s="78">
        <v>17</v>
      </c>
      <c r="AT27" s="67">
        <v>29.6</v>
      </c>
      <c r="AU27" s="67">
        <v>42.4</v>
      </c>
      <c r="AV27" s="67">
        <v>59.400000000000006</v>
      </c>
      <c r="AW27" s="56">
        <v>148.4</v>
      </c>
      <c r="AX27" s="34"/>
      <c r="AY27" s="78">
        <v>17.3</v>
      </c>
      <c r="AZ27" s="67">
        <v>52.2</v>
      </c>
      <c r="BA27" s="67">
        <v>80.599999999999994</v>
      </c>
      <c r="BB27" s="67">
        <v>61.5</v>
      </c>
      <c r="BC27" s="56">
        <v>211.6</v>
      </c>
      <c r="BD27" s="34"/>
      <c r="BE27" s="78">
        <v>28.6</v>
      </c>
      <c r="BF27" s="67">
        <v>71.5</v>
      </c>
      <c r="BG27" s="67">
        <v>79.5</v>
      </c>
      <c r="BH27" s="67">
        <v>77.299999999999983</v>
      </c>
      <c r="BI27" s="56">
        <v>256.89999999999998</v>
      </c>
      <c r="BJ27" s="34"/>
      <c r="BK27" s="78">
        <v>30.8</v>
      </c>
      <c r="BL27" s="67">
        <v>70.7</v>
      </c>
      <c r="BM27" s="67">
        <v>68.599999999999994</v>
      </c>
      <c r="BN27" s="67">
        <v>59.200000000000017</v>
      </c>
      <c r="BO27" s="56">
        <v>229.3</v>
      </c>
      <c r="BP27" s="34"/>
      <c r="BQ27" s="78">
        <v>26.3</v>
      </c>
      <c r="BR27" s="67">
        <v>62</v>
      </c>
      <c r="BS27" s="67">
        <v>87.6</v>
      </c>
      <c r="BT27" s="67">
        <v>77.90000000000002</v>
      </c>
      <c r="BU27" s="56">
        <v>253.8</v>
      </c>
      <c r="BV27" s="34"/>
      <c r="BW27" s="78">
        <v>35.299999999999997</v>
      </c>
      <c r="BX27" s="79">
        <v>68.400000000000006</v>
      </c>
      <c r="BY27" s="79">
        <v>81.100000000000009</v>
      </c>
      <c r="BZ27" s="79">
        <f>CA27-BY27-BX27-BW27</f>
        <v>87.3</v>
      </c>
      <c r="CA27" s="56">
        <f>271.3+0.8</f>
        <v>272.10000000000002</v>
      </c>
      <c r="CB27" s="34"/>
      <c r="CC27" s="78">
        <v>-8.5</v>
      </c>
      <c r="CD27" s="79">
        <v>64.7</v>
      </c>
      <c r="CE27" s="79">
        <v>100.7</v>
      </c>
      <c r="CF27" s="79">
        <f>CG27-CE27-CD27-CC27</f>
        <v>115.3</v>
      </c>
      <c r="CG27" s="150">
        <v>272.2</v>
      </c>
      <c r="CH27" s="34"/>
      <c r="CI27" s="34"/>
      <c r="CJ27" s="34"/>
    </row>
    <row r="28" spans="1:88" x14ac:dyDescent="0.2">
      <c r="A28" s="32" t="s">
        <v>17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2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  <c r="CJ28" s="2"/>
    </row>
    <row r="29" spans="1:88" ht="5.25" customHeight="1" x14ac:dyDescent="0.2">
      <c r="A29" s="31"/>
      <c r="B29" s="72"/>
      <c r="C29" s="73"/>
      <c r="D29" s="72"/>
      <c r="E29" s="72"/>
      <c r="F29" s="72"/>
      <c r="G29" s="74"/>
      <c r="H29" s="2"/>
      <c r="I29" s="73"/>
      <c r="J29" s="72"/>
      <c r="K29" s="72"/>
      <c r="L29" s="72"/>
      <c r="M29" s="74"/>
      <c r="N29" s="2"/>
      <c r="O29" s="73"/>
      <c r="P29" s="72"/>
      <c r="Q29" s="72"/>
      <c r="R29" s="72"/>
      <c r="S29" s="74"/>
      <c r="T29" s="2"/>
      <c r="U29" s="73"/>
      <c r="V29" s="72"/>
      <c r="W29" s="72"/>
      <c r="X29" s="72"/>
      <c r="Y29" s="74"/>
      <c r="Z29" s="2"/>
      <c r="AA29" s="73"/>
      <c r="AB29" s="72"/>
      <c r="AC29" s="72"/>
      <c r="AD29" s="72"/>
      <c r="AE29" s="74"/>
      <c r="AF29" s="2"/>
      <c r="AG29" s="73"/>
      <c r="AH29" s="72"/>
      <c r="AI29" s="72"/>
      <c r="AJ29" s="72"/>
      <c r="AK29" s="74"/>
      <c r="AL29" s="2"/>
      <c r="AM29" s="73"/>
      <c r="AN29" s="72"/>
      <c r="AO29" s="72"/>
      <c r="AP29" s="72"/>
      <c r="AQ29" s="74"/>
      <c r="AR29" s="2"/>
      <c r="AS29" s="73"/>
      <c r="AT29" s="72"/>
      <c r="AU29" s="72"/>
      <c r="AV29" s="72"/>
      <c r="AW29" s="74"/>
      <c r="AX29" s="2"/>
      <c r="AY29" s="73"/>
      <c r="AZ29" s="72"/>
      <c r="BA29" s="72"/>
      <c r="BB29" s="72"/>
      <c r="BC29" s="74"/>
      <c r="BD29" s="2"/>
      <c r="BE29" s="73"/>
      <c r="BF29" s="72"/>
      <c r="BG29" s="72"/>
      <c r="BH29" s="72"/>
      <c r="BI29" s="74"/>
      <c r="BJ29" s="2"/>
      <c r="BK29" s="73"/>
      <c r="BL29" s="72"/>
      <c r="BM29" s="72"/>
      <c r="BN29" s="72"/>
      <c r="BO29" s="74"/>
      <c r="BP29" s="62"/>
      <c r="BQ29" s="73"/>
      <c r="BR29" s="72"/>
      <c r="BS29" s="72"/>
      <c r="BT29" s="72"/>
      <c r="BU29" s="74"/>
      <c r="BV29" s="2"/>
      <c r="BW29" s="73"/>
      <c r="BX29" s="76"/>
      <c r="BY29" s="76"/>
      <c r="BZ29" s="76"/>
      <c r="CA29" s="74"/>
      <c r="CB29" s="2"/>
      <c r="CC29" s="73"/>
      <c r="CD29" s="76"/>
      <c r="CE29" s="76"/>
      <c r="CF29" s="76"/>
      <c r="CG29" s="75"/>
      <c r="CH29" s="2"/>
      <c r="CI29" s="2"/>
      <c r="CJ29" s="2"/>
    </row>
    <row r="30" spans="1:88" s="33" customFormat="1" x14ac:dyDescent="0.2">
      <c r="A30" s="66" t="s">
        <v>109</v>
      </c>
      <c r="B30" s="67"/>
      <c r="C30" s="68">
        <v>41.300000000000011</v>
      </c>
      <c r="D30" s="69">
        <v>56.8</v>
      </c>
      <c r="E30" s="69">
        <v>69.499999999999943</v>
      </c>
      <c r="F30" s="69">
        <v>79.099999999999994</v>
      </c>
      <c r="G30" s="70">
        <v>246.6999999999999</v>
      </c>
      <c r="H30" s="34"/>
      <c r="I30" s="68">
        <v>43.70000000000001</v>
      </c>
      <c r="J30" s="69">
        <v>64.599999999999966</v>
      </c>
      <c r="K30" s="69">
        <v>56.300000000000033</v>
      </c>
      <c r="L30" s="69">
        <v>89.200000000000102</v>
      </c>
      <c r="M30" s="70">
        <v>253.80000000000007</v>
      </c>
      <c r="N30" s="34"/>
      <c r="O30" s="68">
        <v>87.899999999999963</v>
      </c>
      <c r="P30" s="69">
        <v>57.6</v>
      </c>
      <c r="Q30" s="69">
        <v>107.7</v>
      </c>
      <c r="R30" s="69">
        <v>93.100000000000037</v>
      </c>
      <c r="S30" s="70">
        <v>346.3</v>
      </c>
      <c r="T30" s="34"/>
      <c r="U30" s="68">
        <v>49.799999999999969</v>
      </c>
      <c r="V30" s="69">
        <v>66.5</v>
      </c>
      <c r="W30" s="69">
        <v>-122.89999999999993</v>
      </c>
      <c r="X30" s="69">
        <v>86.180000000000035</v>
      </c>
      <c r="Y30" s="70">
        <v>79.579999999999927</v>
      </c>
      <c r="Z30" s="34"/>
      <c r="AA30" s="68">
        <v>69.8</v>
      </c>
      <c r="AB30" s="69">
        <v>111.50000000000007</v>
      </c>
      <c r="AC30" s="69">
        <v>126.99999999999994</v>
      </c>
      <c r="AD30" s="69">
        <v>127.60000000000005</v>
      </c>
      <c r="AE30" s="70">
        <v>435.89999999999986</v>
      </c>
      <c r="AF30" s="34"/>
      <c r="AG30" s="68">
        <v>80.799999999999955</v>
      </c>
      <c r="AH30" s="69">
        <v>111.29999999999995</v>
      </c>
      <c r="AI30" s="69">
        <v>112.4999999999999</v>
      </c>
      <c r="AJ30" s="69">
        <v>171.09999999999997</v>
      </c>
      <c r="AK30" s="70">
        <v>475.7</v>
      </c>
      <c r="AL30" s="34"/>
      <c r="AM30" s="68">
        <v>59.600000000000009</v>
      </c>
      <c r="AN30" s="69">
        <v>100.80000000000011</v>
      </c>
      <c r="AO30" s="69">
        <v>132.40000000000006</v>
      </c>
      <c r="AP30" s="69">
        <v>126.60000000000011</v>
      </c>
      <c r="AQ30" s="70">
        <v>419.4</v>
      </c>
      <c r="AR30" s="34"/>
      <c r="AS30" s="68">
        <v>53.299999999999969</v>
      </c>
      <c r="AT30" s="69">
        <v>93.299999999999898</v>
      </c>
      <c r="AU30" s="69">
        <v>126.7999999999999</v>
      </c>
      <c r="AV30" s="69">
        <v>181.6</v>
      </c>
      <c r="AW30" s="70">
        <v>455.00000000000023</v>
      </c>
      <c r="AX30" s="34"/>
      <c r="AY30" s="68">
        <v>50.300000000000082</v>
      </c>
      <c r="AZ30" s="69">
        <v>151.50000000000006</v>
      </c>
      <c r="BA30" s="69">
        <v>202.20000000000013</v>
      </c>
      <c r="BB30" s="69">
        <v>250.40000000000009</v>
      </c>
      <c r="BC30" s="70">
        <v>654.39999999999952</v>
      </c>
      <c r="BD30" s="34"/>
      <c r="BE30" s="68">
        <v>88.700000000000045</v>
      </c>
      <c r="BF30" s="69">
        <v>221.7000000000001</v>
      </c>
      <c r="BG30" s="69">
        <v>246.2999999999999</v>
      </c>
      <c r="BH30" s="69">
        <v>194.49999999999963</v>
      </c>
      <c r="BI30" s="70">
        <v>751.19999999999959</v>
      </c>
      <c r="BJ30" s="34"/>
      <c r="BK30" s="68">
        <v>90.000000000000099</v>
      </c>
      <c r="BL30" s="69">
        <v>206.40000000000009</v>
      </c>
      <c r="BM30" s="69">
        <v>200.40000000000023</v>
      </c>
      <c r="BN30" s="69">
        <v>161.00000000000043</v>
      </c>
      <c r="BO30" s="70">
        <v>657.80000000000018</v>
      </c>
      <c r="BP30" s="34"/>
      <c r="BQ30" s="68">
        <v>81.099999999999952</v>
      </c>
      <c r="BR30" s="69">
        <v>191.19999999999987</v>
      </c>
      <c r="BS30" s="69">
        <v>269.80000000000007</v>
      </c>
      <c r="BT30" s="69">
        <v>236.80000000000229</v>
      </c>
      <c r="BU30" s="70">
        <v>778.90000000000146</v>
      </c>
      <c r="BV30" s="34"/>
      <c r="BW30" s="68">
        <f>BW24-BW27</f>
        <v>111.90000000000002</v>
      </c>
      <c r="BX30" s="71">
        <f>BX24-BX27</f>
        <v>216.59999999999954</v>
      </c>
      <c r="BY30" s="71">
        <f>BY24-BY27</f>
        <v>256.40000000000009</v>
      </c>
      <c r="BZ30" s="71">
        <f>BZ24-BZ27</f>
        <v>273.39999999999901</v>
      </c>
      <c r="CA30" s="70">
        <f>CA24-CA27</f>
        <v>858.2999999999987</v>
      </c>
      <c r="CB30" s="34"/>
      <c r="CC30" s="68">
        <f>CC24-CC27</f>
        <v>-25.399999999999949</v>
      </c>
      <c r="CD30" s="71">
        <f>CD24-CD27</f>
        <v>194.09999999999985</v>
      </c>
      <c r="CE30" s="71">
        <f>CE24-CE27</f>
        <v>301.99999999999977</v>
      </c>
      <c r="CF30" s="71">
        <f>CF24-CF27</f>
        <v>327.4999999999992</v>
      </c>
      <c r="CG30" s="70">
        <f>CG24-CG27</f>
        <v>798.19999999999891</v>
      </c>
      <c r="CH30" s="34"/>
      <c r="CI30" s="34"/>
      <c r="CJ30" s="34"/>
    </row>
    <row r="31" spans="1:88" x14ac:dyDescent="0.2">
      <c r="A31" s="32" t="s">
        <v>17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2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  <c r="CJ31" s="2"/>
    </row>
    <row r="32" spans="1:88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2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  <c r="CJ32" s="2"/>
    </row>
    <row r="33" spans="1:96" s="33" customFormat="1" x14ac:dyDescent="0.2">
      <c r="A33" s="77" t="s">
        <v>110</v>
      </c>
      <c r="B33" s="67"/>
      <c r="C33" s="78">
        <v>5</v>
      </c>
      <c r="D33" s="67">
        <v>14</v>
      </c>
      <c r="E33" s="67">
        <v>13</v>
      </c>
      <c r="F33" s="67">
        <v>13</v>
      </c>
      <c r="G33" s="56">
        <v>45</v>
      </c>
      <c r="H33" s="34"/>
      <c r="I33" s="78">
        <v>9</v>
      </c>
      <c r="J33" s="67">
        <v>12</v>
      </c>
      <c r="K33" s="67">
        <v>15</v>
      </c>
      <c r="L33" s="67">
        <v>2</v>
      </c>
      <c r="M33" s="56">
        <v>38</v>
      </c>
      <c r="N33" s="34"/>
      <c r="O33" s="78">
        <v>-11</v>
      </c>
      <c r="P33" s="67">
        <v>-8</v>
      </c>
      <c r="Q33" s="67">
        <v>-14</v>
      </c>
      <c r="R33" s="67">
        <v>-45</v>
      </c>
      <c r="S33" s="56">
        <v>-78</v>
      </c>
      <c r="T33" s="34"/>
      <c r="U33" s="78">
        <v>6</v>
      </c>
      <c r="V33" s="67">
        <v>11</v>
      </c>
      <c r="W33" s="67">
        <v>13</v>
      </c>
      <c r="X33" s="67">
        <v>3.9</v>
      </c>
      <c r="Y33" s="56">
        <v>33.9</v>
      </c>
      <c r="Z33" s="34"/>
      <c r="AA33" s="78">
        <v>2</v>
      </c>
      <c r="AB33" s="67">
        <v>6</v>
      </c>
      <c r="AC33" s="67">
        <v>12.879999999999999</v>
      </c>
      <c r="AD33" s="67">
        <v>-38.299999999999997</v>
      </c>
      <c r="AE33" s="56">
        <v>-17.419999999999998</v>
      </c>
      <c r="AF33" s="34"/>
      <c r="AG33" s="78">
        <v>-1</v>
      </c>
      <c r="AH33" s="67">
        <v>2</v>
      </c>
      <c r="AI33" s="67">
        <v>2</v>
      </c>
      <c r="AJ33" s="67">
        <v>-1</v>
      </c>
      <c r="AK33" s="56">
        <v>2</v>
      </c>
      <c r="AL33" s="34"/>
      <c r="AM33" s="78">
        <v>-2</v>
      </c>
      <c r="AN33" s="67">
        <v>1</v>
      </c>
      <c r="AO33" s="67">
        <v>1</v>
      </c>
      <c r="AP33" s="67">
        <v>-6.9999999999999991</v>
      </c>
      <c r="AQ33" s="56">
        <v>-6.9999999999999991</v>
      </c>
      <c r="AR33" s="34"/>
      <c r="AS33" s="78">
        <v>-1</v>
      </c>
      <c r="AT33" s="67">
        <v>-2</v>
      </c>
      <c r="AU33" s="67">
        <v>4</v>
      </c>
      <c r="AV33" s="67">
        <v>-61.7</v>
      </c>
      <c r="AW33" s="56">
        <v>-60.7</v>
      </c>
      <c r="AX33" s="34"/>
      <c r="AY33" s="78">
        <v>-1.2</v>
      </c>
      <c r="AZ33" s="67">
        <v>-1.8</v>
      </c>
      <c r="BA33" s="67">
        <v>-1.1000000000000001</v>
      </c>
      <c r="BB33" s="67">
        <v>-2.5999999999999996</v>
      </c>
      <c r="BC33" s="56">
        <v>-6.7</v>
      </c>
      <c r="BD33" s="34"/>
      <c r="BE33" s="78">
        <v>-2.1</v>
      </c>
      <c r="BF33" s="67">
        <v>-2.9</v>
      </c>
      <c r="BG33" s="67">
        <v>-2.8</v>
      </c>
      <c r="BH33" s="67">
        <v>-5.1000000000000005</v>
      </c>
      <c r="BI33" s="56">
        <v>-12.9</v>
      </c>
      <c r="BJ33" s="34"/>
      <c r="BK33" s="78">
        <v>0</v>
      </c>
      <c r="BL33" s="67">
        <v>0</v>
      </c>
      <c r="BM33" s="67">
        <v>0</v>
      </c>
      <c r="BN33" s="67">
        <v>0</v>
      </c>
      <c r="BO33" s="56">
        <v>0</v>
      </c>
      <c r="BP33" s="34"/>
      <c r="BQ33" s="78">
        <v>0</v>
      </c>
      <c r="BR33" s="67">
        <v>0</v>
      </c>
      <c r="BS33" s="67">
        <v>0</v>
      </c>
      <c r="BT33" s="67">
        <v>0</v>
      </c>
      <c r="BU33" s="56">
        <v>0</v>
      </c>
      <c r="BV33" s="34"/>
      <c r="BW33" s="78">
        <v>0</v>
      </c>
      <c r="BX33" s="79">
        <v>0</v>
      </c>
      <c r="BY33" s="79">
        <v>0</v>
      </c>
      <c r="BZ33" s="79">
        <f>CA33-BY33-BX33-BW33</f>
        <v>0</v>
      </c>
      <c r="CA33" s="56">
        <v>0</v>
      </c>
      <c r="CB33" s="34"/>
      <c r="CC33" s="78">
        <v>0</v>
      </c>
      <c r="CD33" s="79">
        <v>0</v>
      </c>
      <c r="CE33" s="79">
        <v>0</v>
      </c>
      <c r="CF33" s="79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ht="5.25" customHeight="1" x14ac:dyDescent="0.2">
      <c r="A34" s="31"/>
      <c r="B34" s="72"/>
      <c r="C34" s="73"/>
      <c r="D34" s="72"/>
      <c r="E34" s="72"/>
      <c r="F34" s="72"/>
      <c r="G34" s="75"/>
      <c r="H34" s="2"/>
      <c r="I34" s="73"/>
      <c r="J34" s="72"/>
      <c r="K34" s="72"/>
      <c r="L34" s="72"/>
      <c r="M34" s="75"/>
      <c r="N34" s="2"/>
      <c r="O34" s="73"/>
      <c r="P34" s="72"/>
      <c r="Q34" s="72"/>
      <c r="R34" s="72"/>
      <c r="S34" s="75"/>
      <c r="T34" s="2"/>
      <c r="U34" s="73"/>
      <c r="V34" s="72"/>
      <c r="W34" s="72"/>
      <c r="X34" s="72"/>
      <c r="Y34" s="75"/>
      <c r="Z34" s="2"/>
      <c r="AA34" s="73"/>
      <c r="AB34" s="72"/>
      <c r="AC34" s="72"/>
      <c r="AD34" s="72"/>
      <c r="AE34" s="75"/>
      <c r="AF34" s="2"/>
      <c r="AG34" s="73"/>
      <c r="AH34" s="72"/>
      <c r="AI34" s="72"/>
      <c r="AJ34" s="72"/>
      <c r="AK34" s="75"/>
      <c r="AL34" s="2"/>
      <c r="AM34" s="73"/>
      <c r="AN34" s="72"/>
      <c r="AO34" s="72"/>
      <c r="AP34" s="72"/>
      <c r="AQ34" s="75"/>
      <c r="AR34" s="2"/>
      <c r="AS34" s="73"/>
      <c r="AT34" s="72"/>
      <c r="AU34" s="72"/>
      <c r="AV34" s="72"/>
      <c r="AW34" s="75"/>
      <c r="AX34" s="2"/>
      <c r="AY34" s="73"/>
      <c r="AZ34" s="72"/>
      <c r="BA34" s="72"/>
      <c r="BB34" s="72"/>
      <c r="BC34" s="75"/>
      <c r="BD34" s="2"/>
      <c r="BE34" s="73"/>
      <c r="BF34" s="72"/>
      <c r="BG34" s="72"/>
      <c r="BH34" s="72"/>
      <c r="BI34" s="75"/>
      <c r="BJ34" s="2"/>
      <c r="BK34" s="73"/>
      <c r="BL34" s="72"/>
      <c r="BM34" s="72"/>
      <c r="BN34" s="72"/>
      <c r="BO34" s="75"/>
      <c r="BP34" s="62"/>
      <c r="BQ34" s="73"/>
      <c r="BR34" s="72"/>
      <c r="BS34" s="72"/>
      <c r="BT34" s="72"/>
      <c r="BU34" s="75"/>
      <c r="BV34" s="2"/>
      <c r="BW34" s="73"/>
      <c r="BX34" s="76"/>
      <c r="BY34" s="76"/>
      <c r="BZ34" s="76"/>
      <c r="CA34" s="75"/>
      <c r="CB34" s="2"/>
      <c r="CC34" s="73"/>
      <c r="CD34" s="76"/>
      <c r="CE34" s="76"/>
      <c r="CF34" s="76"/>
      <c r="CG34" s="75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33" customFormat="1" x14ac:dyDescent="0.2">
      <c r="A35" s="66" t="s">
        <v>25</v>
      </c>
      <c r="B35" s="67"/>
      <c r="C35" s="68">
        <v>46.300000000000011</v>
      </c>
      <c r="D35" s="69">
        <v>70.8</v>
      </c>
      <c r="E35" s="69">
        <v>82.499999999999943</v>
      </c>
      <c r="F35" s="69">
        <v>92.1</v>
      </c>
      <c r="G35" s="70">
        <v>291.69999999999993</v>
      </c>
      <c r="H35" s="34"/>
      <c r="I35" s="68">
        <v>52.70000000000001</v>
      </c>
      <c r="J35" s="69">
        <v>76.599999999999966</v>
      </c>
      <c r="K35" s="69">
        <v>71.30000000000004</v>
      </c>
      <c r="L35" s="69">
        <v>91.200000000000102</v>
      </c>
      <c r="M35" s="70">
        <v>291.80000000000007</v>
      </c>
      <c r="N35" s="34"/>
      <c r="O35" s="68">
        <v>76.899999999999963</v>
      </c>
      <c r="P35" s="69">
        <v>49.6</v>
      </c>
      <c r="Q35" s="69">
        <v>93.7</v>
      </c>
      <c r="R35" s="69">
        <v>48.100000000000037</v>
      </c>
      <c r="S35" s="70">
        <v>268.3</v>
      </c>
      <c r="T35" s="34"/>
      <c r="U35" s="68">
        <v>55.799999999999969</v>
      </c>
      <c r="V35" s="69">
        <v>77.5</v>
      </c>
      <c r="W35" s="69">
        <v>-109.89999999999993</v>
      </c>
      <c r="X35" s="69">
        <v>90.080000000000041</v>
      </c>
      <c r="Y35" s="70">
        <v>113.47999999999993</v>
      </c>
      <c r="Z35" s="34"/>
      <c r="AA35" s="68">
        <v>71.8</v>
      </c>
      <c r="AB35" s="69">
        <v>117.50000000000007</v>
      </c>
      <c r="AC35" s="69">
        <v>139.87999999999994</v>
      </c>
      <c r="AD35" s="69">
        <v>89.300000000000054</v>
      </c>
      <c r="AE35" s="70">
        <v>418.47999999999985</v>
      </c>
      <c r="AF35" s="34"/>
      <c r="AG35" s="68">
        <v>79.799999999999955</v>
      </c>
      <c r="AH35" s="69">
        <v>113.29999999999995</v>
      </c>
      <c r="AI35" s="69">
        <v>114.4999999999999</v>
      </c>
      <c r="AJ35" s="69">
        <v>170.09999999999997</v>
      </c>
      <c r="AK35" s="70">
        <v>477.7</v>
      </c>
      <c r="AL35" s="34"/>
      <c r="AM35" s="68">
        <v>57.600000000000009</v>
      </c>
      <c r="AN35" s="69">
        <v>101.80000000000011</v>
      </c>
      <c r="AO35" s="69">
        <v>133.40000000000006</v>
      </c>
      <c r="AP35" s="69">
        <v>119.60000000000011</v>
      </c>
      <c r="AQ35" s="70">
        <v>412.4</v>
      </c>
      <c r="AR35" s="34"/>
      <c r="AS35" s="68">
        <v>52.299999999999969</v>
      </c>
      <c r="AT35" s="69">
        <v>91.299999999999898</v>
      </c>
      <c r="AU35" s="69">
        <v>130.7999999999999</v>
      </c>
      <c r="AV35" s="69">
        <v>119.89999999999999</v>
      </c>
      <c r="AW35" s="70">
        <v>394.30000000000024</v>
      </c>
      <c r="AX35" s="34"/>
      <c r="AY35" s="68">
        <v>49.10000000000008</v>
      </c>
      <c r="AZ35" s="69">
        <v>149.70000000000005</v>
      </c>
      <c r="BA35" s="69">
        <v>201.10000000000014</v>
      </c>
      <c r="BB35" s="69">
        <v>247.8000000000001</v>
      </c>
      <c r="BC35" s="70">
        <v>647.69999999999948</v>
      </c>
      <c r="BD35" s="34"/>
      <c r="BE35" s="68">
        <v>86.600000000000051</v>
      </c>
      <c r="BF35" s="69">
        <v>218.8000000000001</v>
      </c>
      <c r="BG35" s="69">
        <v>243.49999999999989</v>
      </c>
      <c r="BH35" s="69">
        <v>189.39999999999964</v>
      </c>
      <c r="BI35" s="70">
        <v>738.29999999999961</v>
      </c>
      <c r="BJ35" s="34"/>
      <c r="BK35" s="68">
        <v>90.000000000000099</v>
      </c>
      <c r="BL35" s="69">
        <v>206.40000000000009</v>
      </c>
      <c r="BM35" s="69">
        <v>200.40000000000023</v>
      </c>
      <c r="BN35" s="69">
        <v>161.00000000000043</v>
      </c>
      <c r="BO35" s="70">
        <v>657.80000000000018</v>
      </c>
      <c r="BP35" s="34"/>
      <c r="BQ35" s="68">
        <v>81.099999999999952</v>
      </c>
      <c r="BR35" s="69">
        <v>191.19999999999987</v>
      </c>
      <c r="BS35" s="69">
        <v>269.80000000000007</v>
      </c>
      <c r="BT35" s="69">
        <v>236.80000000000229</v>
      </c>
      <c r="BU35" s="70">
        <v>778.90000000000146</v>
      </c>
      <c r="BV35" s="34"/>
      <c r="BW35" s="68">
        <f>BW30+BW33</f>
        <v>111.90000000000002</v>
      </c>
      <c r="BX35" s="71">
        <f>BX30+BX33</f>
        <v>216.59999999999954</v>
      </c>
      <c r="BY35" s="71">
        <f>BY30+BY33</f>
        <v>256.40000000000009</v>
      </c>
      <c r="BZ35" s="71">
        <f>BZ30+BZ33</f>
        <v>273.39999999999901</v>
      </c>
      <c r="CA35" s="70">
        <f>CA30+CA33</f>
        <v>858.2999999999987</v>
      </c>
      <c r="CB35" s="34"/>
      <c r="CC35" s="68">
        <f>CC30+CC33</f>
        <v>-25.399999999999949</v>
      </c>
      <c r="CD35" s="71">
        <f>CD30+CD33</f>
        <v>194.09999999999985</v>
      </c>
      <c r="CE35" s="71">
        <f>CE30+CE33</f>
        <v>301.99999999999977</v>
      </c>
      <c r="CF35" s="71">
        <f>CF30+CF33</f>
        <v>327.4999999999992</v>
      </c>
      <c r="CG35" s="70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">
      <c r="A36" s="32" t="s">
        <v>17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2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5.25" customHeight="1" x14ac:dyDescent="0.2">
      <c r="A37" s="31"/>
      <c r="B37" s="72"/>
      <c r="C37" s="73"/>
      <c r="D37" s="72"/>
      <c r="E37" s="72"/>
      <c r="F37" s="72"/>
      <c r="G37" s="74"/>
      <c r="H37" s="2"/>
      <c r="I37" s="73"/>
      <c r="J37" s="72"/>
      <c r="K37" s="72"/>
      <c r="L37" s="72"/>
      <c r="M37" s="74"/>
      <c r="N37" s="2"/>
      <c r="O37" s="73"/>
      <c r="P37" s="72"/>
      <c r="Q37" s="72"/>
      <c r="R37" s="72"/>
      <c r="S37" s="74"/>
      <c r="T37" s="2"/>
      <c r="U37" s="73"/>
      <c r="V37" s="72"/>
      <c r="W37" s="72"/>
      <c r="X37" s="72"/>
      <c r="Y37" s="74"/>
      <c r="Z37" s="2"/>
      <c r="AA37" s="73"/>
      <c r="AB37" s="72"/>
      <c r="AC37" s="72"/>
      <c r="AD37" s="72"/>
      <c r="AE37" s="74"/>
      <c r="AF37" s="2"/>
      <c r="AG37" s="73"/>
      <c r="AH37" s="72"/>
      <c r="AI37" s="72"/>
      <c r="AJ37" s="72"/>
      <c r="AK37" s="74"/>
      <c r="AL37" s="2"/>
      <c r="AM37" s="73"/>
      <c r="AN37" s="72"/>
      <c r="AO37" s="72"/>
      <c r="AP37" s="72"/>
      <c r="AQ37" s="74"/>
      <c r="AR37" s="2"/>
      <c r="AS37" s="73"/>
      <c r="AT37" s="72"/>
      <c r="AU37" s="72"/>
      <c r="AV37" s="72"/>
      <c r="AW37" s="74"/>
      <c r="AX37" s="2"/>
      <c r="AY37" s="73"/>
      <c r="AZ37" s="72"/>
      <c r="BA37" s="72"/>
      <c r="BB37" s="72"/>
      <c r="BC37" s="74"/>
      <c r="BD37" s="2"/>
      <c r="BE37" s="73"/>
      <c r="BF37" s="72"/>
      <c r="BG37" s="72"/>
      <c r="BH37" s="72"/>
      <c r="BI37" s="74"/>
      <c r="BJ37" s="2"/>
      <c r="BK37" s="73"/>
      <c r="BL37" s="72"/>
      <c r="BM37" s="72"/>
      <c r="BN37" s="72"/>
      <c r="BO37" s="75"/>
      <c r="BP37" s="62"/>
      <c r="BQ37" s="73"/>
      <c r="BR37" s="72"/>
      <c r="BS37" s="72"/>
      <c r="BT37" s="72"/>
      <c r="BU37" s="75"/>
      <c r="BV37" s="2"/>
      <c r="BW37" s="73"/>
      <c r="BX37" s="76"/>
      <c r="BY37" s="76"/>
      <c r="BZ37" s="76"/>
      <c r="CA37" s="75"/>
      <c r="CB37" s="2"/>
      <c r="CC37" s="73"/>
      <c r="CD37" s="76"/>
      <c r="CE37" s="76"/>
      <c r="CF37" s="76"/>
      <c r="CG37" s="75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33" customFormat="1" x14ac:dyDescent="0.2">
      <c r="A38" s="66" t="s">
        <v>26</v>
      </c>
      <c r="B38" s="67"/>
      <c r="C38" s="68">
        <v>-1.5</v>
      </c>
      <c r="D38" s="69">
        <v>-3.6</v>
      </c>
      <c r="E38" s="69">
        <v>-4</v>
      </c>
      <c r="F38" s="69">
        <v>-3</v>
      </c>
      <c r="G38" s="70">
        <v>-12.1</v>
      </c>
      <c r="H38" s="34"/>
      <c r="I38" s="68">
        <v>-1.2</v>
      </c>
      <c r="J38" s="69">
        <v>-3.4</v>
      </c>
      <c r="K38" s="69">
        <v>-3.1000000000000005</v>
      </c>
      <c r="L38" s="69">
        <v>-5.8999999999999995</v>
      </c>
      <c r="M38" s="70">
        <v>-13.6</v>
      </c>
      <c r="N38" s="34"/>
      <c r="O38" s="68">
        <v>-3.5</v>
      </c>
      <c r="P38" s="69">
        <v>-5.9</v>
      </c>
      <c r="Q38" s="69">
        <v>-6.9</v>
      </c>
      <c r="R38" s="69">
        <v>-3.2</v>
      </c>
      <c r="S38" s="70">
        <v>-19.5</v>
      </c>
      <c r="T38" s="34"/>
      <c r="U38" s="68">
        <v>-6.7</v>
      </c>
      <c r="V38" s="69">
        <v>-13.1</v>
      </c>
      <c r="W38" s="69">
        <v>-12.6</v>
      </c>
      <c r="X38" s="69">
        <v>-7.4</v>
      </c>
      <c r="Y38" s="70">
        <v>-39.799999999999997</v>
      </c>
      <c r="Z38" s="34"/>
      <c r="AA38" s="68">
        <v>-6.7</v>
      </c>
      <c r="AB38" s="69">
        <v>-9.4</v>
      </c>
      <c r="AC38" s="69">
        <v>-14.5</v>
      </c>
      <c r="AD38" s="69">
        <v>-5.9</v>
      </c>
      <c r="AE38" s="70">
        <v>-36.5</v>
      </c>
      <c r="AF38" s="34"/>
      <c r="AG38" s="68">
        <v>-7.3</v>
      </c>
      <c r="AH38" s="69">
        <v>-10.199999999999999</v>
      </c>
      <c r="AI38" s="69">
        <v>-14</v>
      </c>
      <c r="AJ38" s="69">
        <v>-5.8</v>
      </c>
      <c r="AK38" s="70">
        <v>-37.299999999999997</v>
      </c>
      <c r="AL38" s="34"/>
      <c r="AM38" s="68">
        <v>-5.6</v>
      </c>
      <c r="AN38" s="69">
        <v>-11.3</v>
      </c>
      <c r="AO38" s="69">
        <v>-11.9</v>
      </c>
      <c r="AP38" s="69">
        <v>-6.9000000000000039</v>
      </c>
      <c r="AQ38" s="70">
        <v>-35.700000000000003</v>
      </c>
      <c r="AR38" s="34"/>
      <c r="AS38" s="68">
        <v>-4.0999999999999996</v>
      </c>
      <c r="AT38" s="69">
        <v>-8</v>
      </c>
      <c r="AU38" s="69">
        <v>-12.899999999999999</v>
      </c>
      <c r="AV38" s="69">
        <v>-8.4</v>
      </c>
      <c r="AW38" s="70">
        <v>-33.4</v>
      </c>
      <c r="AX38" s="34"/>
      <c r="AY38" s="68">
        <v>-4.4000000000000004</v>
      </c>
      <c r="AZ38" s="69">
        <v>-13.2</v>
      </c>
      <c r="BA38" s="69">
        <v>-18.7</v>
      </c>
      <c r="BB38" s="69">
        <v>-10.6</v>
      </c>
      <c r="BC38" s="70">
        <v>-46.9</v>
      </c>
      <c r="BD38" s="34"/>
      <c r="BE38" s="68">
        <v>-6.8</v>
      </c>
      <c r="BF38" s="69">
        <v>-14.2</v>
      </c>
      <c r="BG38" s="69">
        <v>-22</v>
      </c>
      <c r="BH38" s="69">
        <v>-4.2000000000000028</v>
      </c>
      <c r="BI38" s="70">
        <v>-47.2</v>
      </c>
      <c r="BJ38" s="34"/>
      <c r="BK38" s="68">
        <v>-5.2</v>
      </c>
      <c r="BL38" s="69">
        <v>-15.9</v>
      </c>
      <c r="BM38" s="69">
        <v>-21.1</v>
      </c>
      <c r="BN38" s="69">
        <v>-4.8999999999999995</v>
      </c>
      <c r="BO38" s="70">
        <v>-47.1</v>
      </c>
      <c r="BP38" s="34"/>
      <c r="BQ38" s="68">
        <v>-5.2</v>
      </c>
      <c r="BR38" s="69">
        <v>-11.2</v>
      </c>
      <c r="BS38" s="69">
        <v>-17.100000000000001</v>
      </c>
      <c r="BT38" s="69">
        <v>-5.1000000000000005</v>
      </c>
      <c r="BU38" s="70">
        <v>-38.6</v>
      </c>
      <c r="BV38" s="34"/>
      <c r="BW38" s="68">
        <v>-4</v>
      </c>
      <c r="BX38" s="71">
        <v>-10.199999999999999</v>
      </c>
      <c r="BY38" s="71">
        <v>-13.400000000000002</v>
      </c>
      <c r="BZ38" s="71">
        <f>CA38-BY38-BX38-BW38</f>
        <v>-8.2999999999999972</v>
      </c>
      <c r="CA38" s="70">
        <v>-35.9</v>
      </c>
      <c r="CB38" s="34"/>
      <c r="CC38" s="68">
        <v>-3.6</v>
      </c>
      <c r="CD38" s="71">
        <v>7.8</v>
      </c>
      <c r="CE38" s="71">
        <v>-13.6</v>
      </c>
      <c r="CF38" s="71">
        <f>CG38-CE38-CD38-CC38</f>
        <v>-13.700000000000001</v>
      </c>
      <c r="CG38" s="70">
        <v>-23.1</v>
      </c>
      <c r="CH38" s="147"/>
      <c r="CI38" s="147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ht="5.25" customHeight="1" x14ac:dyDescent="0.2">
      <c r="A39" s="31"/>
      <c r="B39" s="27"/>
      <c r="C39" s="28"/>
      <c r="D39" s="27"/>
      <c r="E39" s="27"/>
      <c r="F39" s="27"/>
      <c r="G39" s="74"/>
      <c r="H39" s="2"/>
      <c r="I39" s="28"/>
      <c r="J39" s="27"/>
      <c r="K39" s="27"/>
      <c r="L39" s="27"/>
      <c r="M39" s="74"/>
      <c r="N39" s="2"/>
      <c r="O39" s="28"/>
      <c r="P39" s="27"/>
      <c r="Q39" s="27"/>
      <c r="R39" s="27"/>
      <c r="S39" s="74"/>
      <c r="T39" s="2"/>
      <c r="U39" s="28"/>
      <c r="V39" s="27"/>
      <c r="W39" s="27"/>
      <c r="X39" s="27"/>
      <c r="Y39" s="74"/>
      <c r="Z39" s="2"/>
      <c r="AA39" s="28"/>
      <c r="AB39" s="27"/>
      <c r="AC39" s="27"/>
      <c r="AD39" s="27"/>
      <c r="AE39" s="74"/>
      <c r="AF39" s="2"/>
      <c r="AG39" s="28"/>
      <c r="AH39" s="27"/>
      <c r="AI39" s="27"/>
      <c r="AJ39" s="27"/>
      <c r="AK39" s="74"/>
      <c r="AL39" s="2"/>
      <c r="AM39" s="28"/>
      <c r="AN39" s="27"/>
      <c r="AO39" s="27"/>
      <c r="AP39" s="27"/>
      <c r="AQ39" s="74"/>
      <c r="AR39" s="2"/>
      <c r="AS39" s="28"/>
      <c r="AT39" s="27"/>
      <c r="AU39" s="27"/>
      <c r="AV39" s="27"/>
      <c r="AW39" s="74"/>
      <c r="AX39" s="2"/>
      <c r="AY39" s="28"/>
      <c r="AZ39" s="27"/>
      <c r="BA39" s="27"/>
      <c r="BB39" s="27"/>
      <c r="BC39" s="74"/>
      <c r="BD39" s="2"/>
      <c r="BE39" s="28"/>
      <c r="BF39" s="27"/>
      <c r="BG39" s="27"/>
      <c r="BH39" s="27"/>
      <c r="BI39" s="74"/>
      <c r="BJ39" s="2"/>
      <c r="BK39" s="28"/>
      <c r="BL39" s="27"/>
      <c r="BM39" s="27"/>
      <c r="BN39" s="27"/>
      <c r="BO39" s="29"/>
      <c r="BP39" s="62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" customHeight="1" thickBot="1" x14ac:dyDescent="0.25">
      <c r="A40" s="52" t="s">
        <v>27</v>
      </c>
      <c r="B40" s="67"/>
      <c r="C40" s="80">
        <v>0.27</v>
      </c>
      <c r="D40" s="81">
        <v>0.42</v>
      </c>
      <c r="E40" s="81">
        <v>0.49</v>
      </c>
      <c r="F40" s="81">
        <v>0.57999999999999996</v>
      </c>
      <c r="G40" s="82">
        <v>1.7599999999999998</v>
      </c>
      <c r="H40" s="2"/>
      <c r="I40" s="80">
        <v>0.33</v>
      </c>
      <c r="J40" s="81">
        <v>0.47</v>
      </c>
      <c r="K40" s="81">
        <v>0.45</v>
      </c>
      <c r="L40" s="81">
        <v>0.56999999999999995</v>
      </c>
      <c r="M40" s="82">
        <v>1.8199999999999998</v>
      </c>
      <c r="N40" s="2"/>
      <c r="O40" s="80">
        <v>0.49</v>
      </c>
      <c r="P40" s="81">
        <v>0.28999999999999998</v>
      </c>
      <c r="Q40" s="81">
        <v>0.57999999999999996</v>
      </c>
      <c r="R40" s="81">
        <v>0.31</v>
      </c>
      <c r="S40" s="82">
        <v>1.67</v>
      </c>
      <c r="T40" s="2"/>
      <c r="U40" s="80">
        <v>0.33</v>
      </c>
      <c r="V40" s="81">
        <v>0.44</v>
      </c>
      <c r="W40" s="81">
        <v>-0.83</v>
      </c>
      <c r="X40" s="81">
        <v>0.56000000000000005</v>
      </c>
      <c r="Y40" s="82">
        <v>0.50000000000000011</v>
      </c>
      <c r="Z40" s="2"/>
      <c r="AA40" s="80">
        <v>0.44</v>
      </c>
      <c r="AB40" s="81">
        <v>0.73</v>
      </c>
      <c r="AC40" s="81">
        <v>0.85</v>
      </c>
      <c r="AD40" s="81">
        <v>0.56000000000000005</v>
      </c>
      <c r="AE40" s="82">
        <v>2.58</v>
      </c>
      <c r="AF40" s="2"/>
      <c r="AG40" s="80">
        <v>0.49</v>
      </c>
      <c r="AH40" s="81">
        <v>0.7</v>
      </c>
      <c r="AI40" s="81">
        <v>0.68</v>
      </c>
      <c r="AJ40" s="81">
        <v>1.1100000000000001</v>
      </c>
      <c r="AK40" s="82">
        <v>2.9800000000000004</v>
      </c>
      <c r="AL40" s="2"/>
      <c r="AM40" s="80">
        <v>0.35</v>
      </c>
      <c r="AN40" s="81">
        <v>0.61</v>
      </c>
      <c r="AO40" s="81">
        <v>0.82</v>
      </c>
      <c r="AP40" s="81">
        <v>0.77</v>
      </c>
      <c r="AQ40" s="82">
        <v>2.5499999999999998</v>
      </c>
      <c r="AR40" s="2"/>
      <c r="AS40" s="80">
        <v>0.33</v>
      </c>
      <c r="AT40" s="81">
        <v>0.56000000000000005</v>
      </c>
      <c r="AU40" s="81">
        <v>0.8</v>
      </c>
      <c r="AV40" s="81">
        <v>0.75</v>
      </c>
      <c r="AW40" s="82">
        <v>2.4400000000000004</v>
      </c>
      <c r="AX40" s="2"/>
      <c r="AY40" s="80">
        <v>0.3</v>
      </c>
      <c r="AZ40" s="81">
        <v>0.92</v>
      </c>
      <c r="BA40" s="81">
        <v>1.23</v>
      </c>
      <c r="BB40" s="81">
        <v>1.6099999999999997</v>
      </c>
      <c r="BC40" s="82">
        <v>4.0599999999999996</v>
      </c>
      <c r="BD40" s="2"/>
      <c r="BE40" s="80">
        <v>0.54</v>
      </c>
      <c r="BF40" s="81">
        <v>1.38</v>
      </c>
      <c r="BG40" s="81">
        <v>1.5</v>
      </c>
      <c r="BH40" s="81">
        <v>1.2599999999999998</v>
      </c>
      <c r="BI40" s="82">
        <v>4.68</v>
      </c>
      <c r="BJ40" s="2"/>
      <c r="BK40" s="80">
        <v>0.56999999999999995</v>
      </c>
      <c r="BL40" s="81">
        <v>1.29</v>
      </c>
      <c r="BM40" s="81">
        <v>1.22</v>
      </c>
      <c r="BN40" s="81">
        <v>1.06</v>
      </c>
      <c r="BO40" s="82">
        <v>4.1399999999999997</v>
      </c>
      <c r="BP40" s="83"/>
      <c r="BQ40" s="80">
        <v>0.51</v>
      </c>
      <c r="BR40" s="81">
        <v>1.22</v>
      </c>
      <c r="BS40" s="81">
        <v>1.71</v>
      </c>
      <c r="BT40" s="81">
        <v>1.57</v>
      </c>
      <c r="BU40" s="82">
        <v>5.01</v>
      </c>
      <c r="BV40" s="2"/>
      <c r="BW40" s="80">
        <v>0.73</v>
      </c>
      <c r="BX40" s="81">
        <v>1.4</v>
      </c>
      <c r="BY40" s="81">
        <v>1.6400000000000001</v>
      </c>
      <c r="BZ40" s="81">
        <f>CA40-BY40-BX40-BW40</f>
        <v>1.7956214755730682</v>
      </c>
      <c r="CA40" s="82">
        <f>(CA35+CA38)/147.764271</f>
        <v>5.5656214755730682</v>
      </c>
      <c r="CB40" s="2"/>
      <c r="CC40" s="80">
        <v>-0.2</v>
      </c>
      <c r="CD40" s="81">
        <v>1.37</v>
      </c>
      <c r="CE40" s="81">
        <v>1.96</v>
      </c>
      <c r="CF40" s="81">
        <f>CG40-CE40-CD40-CC40</f>
        <v>2.12</v>
      </c>
      <c r="CG40" s="82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5.25" customHeight="1" x14ac:dyDescent="0.2">
      <c r="A41" s="2"/>
      <c r="B41" s="6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4"/>
      <c r="CD41" s="84"/>
      <c r="CE41" s="84"/>
      <c r="CF41" s="8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33" customFormat="1" x14ac:dyDescent="0.2">
      <c r="A42" s="34" t="s">
        <v>28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5">
        <v>280.89999999999998</v>
      </c>
      <c r="BX42" s="85">
        <v>427.7</v>
      </c>
      <c r="BY42" s="85">
        <v>495.9</v>
      </c>
      <c r="BZ42" s="85">
        <v>470.99999999999852</v>
      </c>
      <c r="CA42" s="85">
        <v>1675.4999999999986</v>
      </c>
      <c r="CB42" s="34"/>
      <c r="CC42" s="86">
        <v>309</v>
      </c>
      <c r="CD42" s="86">
        <v>371.3</v>
      </c>
      <c r="CE42" s="86">
        <v>586.20000000000005</v>
      </c>
      <c r="CF42" s="86">
        <f>CG42-CE42-CD42-CC42</f>
        <v>593.5</v>
      </c>
      <c r="CG42" s="85">
        <v>1860</v>
      </c>
      <c r="CH42" s="87"/>
      <c r="CI42" s="87"/>
      <c r="CJ42" s="87"/>
      <c r="CK42" s="87"/>
      <c r="CL42" s="87"/>
      <c r="CM42" s="87"/>
      <c r="CN42" s="34"/>
      <c r="CO42" s="87"/>
      <c r="CP42" s="87"/>
      <c r="CQ42" s="87"/>
      <c r="CR42" s="87"/>
    </row>
    <row r="43" spans="1:96" s="33" customFormat="1" x14ac:dyDescent="0.2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5">
        <v>344.90000000000003</v>
      </c>
      <c r="BX43" s="85">
        <v>496.3</v>
      </c>
      <c r="BY43" s="85">
        <v>563.6</v>
      </c>
      <c r="BZ43" s="85">
        <v>544.29999999999859</v>
      </c>
      <c r="CA43" s="85">
        <v>1949.0999999999988</v>
      </c>
      <c r="CB43" s="34"/>
      <c r="CC43" s="86">
        <v>385.7</v>
      </c>
      <c r="CD43" s="86">
        <v>450.2</v>
      </c>
      <c r="CE43" s="86">
        <v>659.7</v>
      </c>
      <c r="CF43" s="86">
        <f>CG43-CE43-CD43-CC43</f>
        <v>671.3</v>
      </c>
      <c r="CG43" s="85">
        <v>2166.9</v>
      </c>
      <c r="CH43" s="87"/>
      <c r="CI43" s="87"/>
      <c r="CJ43" s="87"/>
      <c r="CK43" s="87"/>
      <c r="CL43" s="87"/>
      <c r="CM43" s="87"/>
      <c r="CN43" s="34"/>
      <c r="CO43" s="34"/>
      <c r="CP43" s="34"/>
      <c r="CQ43" s="34"/>
      <c r="CR43" s="34"/>
    </row>
    <row r="44" spans="1:96" ht="5.25" customHeight="1" thickBot="1" x14ac:dyDescent="0.25">
      <c r="A44" s="2"/>
      <c r="B44" s="6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4"/>
      <c r="CD44" s="84"/>
      <c r="CE44" s="84"/>
      <c r="CF44" s="8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6.2" thickBot="1" x14ac:dyDescent="0.35">
      <c r="A45" s="5" t="s">
        <v>30</v>
      </c>
      <c r="B45" s="61"/>
      <c r="C45" s="165">
        <v>2007</v>
      </c>
      <c r="D45" s="166"/>
      <c r="E45" s="166"/>
      <c r="F45" s="166"/>
      <c r="G45" s="167"/>
      <c r="H45" s="2"/>
      <c r="I45" s="165">
        <v>2008</v>
      </c>
      <c r="J45" s="166"/>
      <c r="K45" s="166"/>
      <c r="L45" s="166"/>
      <c r="M45" s="167"/>
      <c r="N45" s="2"/>
      <c r="O45" s="165">
        <v>2009</v>
      </c>
      <c r="P45" s="166"/>
      <c r="Q45" s="166"/>
      <c r="R45" s="166"/>
      <c r="S45" s="167"/>
      <c r="T45" s="2"/>
      <c r="U45" s="8"/>
      <c r="V45" s="9">
        <v>2010</v>
      </c>
      <c r="W45" s="9"/>
      <c r="X45" s="9"/>
      <c r="Y45" s="10" t="s">
        <v>58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2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0.8" thickBot="1" x14ac:dyDescent="0.25">
      <c r="A46" s="13" t="s">
        <v>1</v>
      </c>
      <c r="B46" s="14"/>
      <c r="C46" s="15" t="s">
        <v>59</v>
      </c>
      <c r="D46" s="19" t="s">
        <v>60</v>
      </c>
      <c r="E46" s="19" t="s">
        <v>61</v>
      </c>
      <c r="F46" s="19" t="s">
        <v>62</v>
      </c>
      <c r="G46" s="17" t="s">
        <v>6</v>
      </c>
      <c r="H46" s="2"/>
      <c r="I46" s="15" t="s">
        <v>63</v>
      </c>
      <c r="J46" s="19" t="s">
        <v>64</v>
      </c>
      <c r="K46" s="19" t="s">
        <v>65</v>
      </c>
      <c r="L46" s="19" t="s">
        <v>66</v>
      </c>
      <c r="M46" s="17" t="s">
        <v>6</v>
      </c>
      <c r="N46" s="2"/>
      <c r="O46" s="18" t="s">
        <v>67</v>
      </c>
      <c r="P46" s="19" t="s">
        <v>68</v>
      </c>
      <c r="Q46" s="16" t="s">
        <v>69</v>
      </c>
      <c r="R46" s="16" t="s">
        <v>70</v>
      </c>
      <c r="S46" s="17" t="s">
        <v>6</v>
      </c>
      <c r="T46" s="2"/>
      <c r="U46" s="18" t="s">
        <v>71</v>
      </c>
      <c r="V46" s="19" t="s">
        <v>72</v>
      </c>
      <c r="W46" s="19" t="s">
        <v>73</v>
      </c>
      <c r="X46" s="19" t="s">
        <v>74</v>
      </c>
      <c r="Y46" s="20" t="s">
        <v>6</v>
      </c>
      <c r="Z46" s="2"/>
      <c r="AA46" s="18" t="s">
        <v>75</v>
      </c>
      <c r="AB46" s="19" t="s">
        <v>76</v>
      </c>
      <c r="AC46" s="19" t="s">
        <v>77</v>
      </c>
      <c r="AD46" s="19" t="s">
        <v>78</v>
      </c>
      <c r="AE46" s="20" t="s">
        <v>6</v>
      </c>
      <c r="AF46" s="2"/>
      <c r="AG46" s="18" t="s">
        <v>79</v>
      </c>
      <c r="AH46" s="19" t="s">
        <v>80</v>
      </c>
      <c r="AI46" s="19" t="s">
        <v>81</v>
      </c>
      <c r="AJ46" s="19" t="s">
        <v>82</v>
      </c>
      <c r="AK46" s="20" t="s">
        <v>6</v>
      </c>
      <c r="AL46" s="2"/>
      <c r="AM46" s="18" t="s">
        <v>83</v>
      </c>
      <c r="AN46" s="19" t="s">
        <v>84</v>
      </c>
      <c r="AO46" s="19" t="s">
        <v>85</v>
      </c>
      <c r="AP46" s="19" t="s">
        <v>86</v>
      </c>
      <c r="AQ46" s="20" t="s">
        <v>6</v>
      </c>
      <c r="AR46" s="2"/>
      <c r="AS46" s="18" t="s">
        <v>87</v>
      </c>
      <c r="AT46" s="19" t="s">
        <v>88</v>
      </c>
      <c r="AU46" s="19" t="s">
        <v>89</v>
      </c>
      <c r="AV46" s="19" t="s">
        <v>90</v>
      </c>
      <c r="AW46" s="20" t="s">
        <v>6</v>
      </c>
      <c r="AX46" s="2"/>
      <c r="AY46" s="18" t="s">
        <v>91</v>
      </c>
      <c r="AZ46" s="19" t="s">
        <v>92</v>
      </c>
      <c r="BA46" s="19" t="s">
        <v>93</v>
      </c>
      <c r="BB46" s="19" t="s">
        <v>94</v>
      </c>
      <c r="BC46" s="20" t="s">
        <v>6</v>
      </c>
      <c r="BD46" s="2"/>
      <c r="BE46" s="18" t="s">
        <v>95</v>
      </c>
      <c r="BF46" s="19" t="s">
        <v>96</v>
      </c>
      <c r="BG46" s="19" t="s">
        <v>97</v>
      </c>
      <c r="BH46" s="19" t="s">
        <v>98</v>
      </c>
      <c r="BI46" s="20" t="s">
        <v>6</v>
      </c>
      <c r="BJ46" s="2"/>
      <c r="BK46" s="18" t="s">
        <v>99</v>
      </c>
      <c r="BL46" s="19" t="s">
        <v>100</v>
      </c>
      <c r="BM46" s="19" t="s">
        <v>101</v>
      </c>
      <c r="BN46" s="19" t="s">
        <v>102</v>
      </c>
      <c r="BO46" s="20" t="s">
        <v>6</v>
      </c>
      <c r="BP46" s="62"/>
      <c r="BQ46" s="18" t="s">
        <v>103</v>
      </c>
      <c r="BR46" s="19" t="s">
        <v>104</v>
      </c>
      <c r="BS46" s="19" t="s">
        <v>105</v>
      </c>
      <c r="BT46" s="19" t="s">
        <v>106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5.25" customHeight="1" x14ac:dyDescent="0.2">
      <c r="A47" s="30"/>
      <c r="B47" s="88"/>
      <c r="C47" s="89"/>
      <c r="D47" s="88"/>
      <c r="E47" s="88"/>
      <c r="F47" s="88"/>
      <c r="G47" s="90"/>
      <c r="H47" s="2"/>
      <c r="I47" s="89"/>
      <c r="J47" s="88"/>
      <c r="K47" s="88"/>
      <c r="L47" s="88"/>
      <c r="M47" s="90"/>
      <c r="N47" s="2"/>
      <c r="O47" s="89"/>
      <c r="P47" s="88"/>
      <c r="Q47" s="88"/>
      <c r="R47" s="88"/>
      <c r="S47" s="90"/>
      <c r="T47" s="2"/>
      <c r="U47" s="89"/>
      <c r="V47" s="91"/>
      <c r="W47" s="91"/>
      <c r="X47" s="91"/>
      <c r="Y47" s="90"/>
      <c r="Z47" s="2"/>
      <c r="AA47" s="89"/>
      <c r="AB47" s="91"/>
      <c r="AC47" s="91"/>
      <c r="AD47" s="91"/>
      <c r="AE47" s="90"/>
      <c r="AF47" s="2"/>
      <c r="AG47" s="89"/>
      <c r="AH47" s="91"/>
      <c r="AI47" s="91"/>
      <c r="AJ47" s="91"/>
      <c r="AK47" s="90"/>
      <c r="AL47" s="2"/>
      <c r="AM47" s="89"/>
      <c r="AN47" s="91"/>
      <c r="AO47" s="91"/>
      <c r="AP47" s="91"/>
      <c r="AQ47" s="90"/>
      <c r="AR47" s="2"/>
      <c r="AS47" s="89"/>
      <c r="AT47" s="91"/>
      <c r="AU47" s="91"/>
      <c r="AV47" s="91"/>
      <c r="AW47" s="90"/>
      <c r="AX47" s="2"/>
      <c r="AY47" s="89"/>
      <c r="AZ47" s="91"/>
      <c r="BA47" s="91"/>
      <c r="BB47" s="91"/>
      <c r="BC47" s="90"/>
      <c r="BD47" s="2"/>
      <c r="BE47" s="89"/>
      <c r="BF47" s="91"/>
      <c r="BG47" s="91"/>
      <c r="BH47" s="91"/>
      <c r="BI47" s="90"/>
      <c r="BJ47" s="2"/>
      <c r="BK47" s="89"/>
      <c r="BL47" s="91"/>
      <c r="BM47" s="91"/>
      <c r="BN47" s="91"/>
      <c r="BO47" s="90"/>
      <c r="BP47" s="62"/>
      <c r="BQ47" s="89"/>
      <c r="BR47" s="91"/>
      <c r="BS47" s="91"/>
      <c r="BT47" s="91"/>
      <c r="BU47" s="90"/>
      <c r="BV47" s="2"/>
      <c r="BW47" s="89"/>
      <c r="BX47" s="91"/>
      <c r="BY47" s="91"/>
      <c r="BZ47" s="91"/>
      <c r="CA47" s="90"/>
      <c r="CB47" s="2"/>
      <c r="CC47" s="92"/>
      <c r="CD47" s="84"/>
      <c r="CE47" s="84"/>
      <c r="CF47" s="84"/>
      <c r="CG47" s="74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">
      <c r="A48" s="31" t="s">
        <v>31</v>
      </c>
      <c r="B48" s="88"/>
      <c r="C48" s="93"/>
      <c r="D48" s="88"/>
      <c r="E48" s="88"/>
      <c r="F48" s="88"/>
      <c r="G48" s="94"/>
      <c r="H48" s="2"/>
      <c r="I48" s="93"/>
      <c r="J48" s="88"/>
      <c r="K48" s="88"/>
      <c r="L48" s="88"/>
      <c r="M48" s="94"/>
      <c r="N48" s="2"/>
      <c r="O48" s="93"/>
      <c r="P48" s="88"/>
      <c r="Q48" s="88"/>
      <c r="R48" s="88"/>
      <c r="S48" s="94"/>
      <c r="T48" s="2"/>
      <c r="U48" s="93"/>
      <c r="V48" s="88"/>
      <c r="W48" s="88"/>
      <c r="X48" s="88"/>
      <c r="Y48" s="94"/>
      <c r="Z48" s="2"/>
      <c r="AA48" s="93"/>
      <c r="AB48" s="88"/>
      <c r="AC48" s="88"/>
      <c r="AD48" s="88"/>
      <c r="AE48" s="94"/>
      <c r="AF48" s="2"/>
      <c r="AG48" s="93"/>
      <c r="AH48" s="88"/>
      <c r="AI48" s="88"/>
      <c r="AJ48" s="88"/>
      <c r="AK48" s="94"/>
      <c r="AL48" s="2"/>
      <c r="AM48" s="93"/>
      <c r="AN48" s="88"/>
      <c r="AO48" s="88"/>
      <c r="AP48" s="88"/>
      <c r="AQ48" s="94"/>
      <c r="AR48" s="2"/>
      <c r="AS48" s="93"/>
      <c r="AT48" s="88"/>
      <c r="AU48" s="88"/>
      <c r="AV48" s="88"/>
      <c r="AW48" s="94"/>
      <c r="AX48" s="2"/>
      <c r="AY48" s="93"/>
      <c r="AZ48" s="88"/>
      <c r="BA48" s="88"/>
      <c r="BB48" s="88"/>
      <c r="BC48" s="94"/>
      <c r="BD48" s="2"/>
      <c r="BE48" s="93"/>
      <c r="BF48" s="88"/>
      <c r="BG48" s="88"/>
      <c r="BH48" s="88"/>
      <c r="BI48" s="94"/>
      <c r="BJ48" s="2"/>
      <c r="BK48" s="93"/>
      <c r="BL48" s="88"/>
      <c r="BM48" s="88"/>
      <c r="BN48" s="88"/>
      <c r="BO48" s="94"/>
      <c r="BP48" s="62"/>
      <c r="BQ48" s="93"/>
      <c r="BR48" s="88"/>
      <c r="BS48" s="88"/>
      <c r="BT48" s="88"/>
      <c r="BU48" s="94"/>
      <c r="BV48" s="95"/>
      <c r="BW48" s="93"/>
      <c r="BX48" s="96"/>
      <c r="BY48" s="96"/>
      <c r="BZ48" s="96"/>
      <c r="CA48" s="94"/>
      <c r="CB48" s="95"/>
      <c r="CC48" s="93"/>
      <c r="CD48" s="96"/>
      <c r="CE48" s="96"/>
      <c r="CF48" s="96"/>
      <c r="CG48" s="94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8" ht="11.25" customHeight="1" x14ac:dyDescent="0.2">
      <c r="A49" s="30" t="s">
        <v>32</v>
      </c>
      <c r="B49" s="88"/>
      <c r="C49" s="97">
        <v>111</v>
      </c>
      <c r="D49" s="95">
        <v>152</v>
      </c>
      <c r="E49" s="95">
        <v>142</v>
      </c>
      <c r="F49" s="95">
        <v>206</v>
      </c>
      <c r="G49" s="98">
        <v>611</v>
      </c>
      <c r="H49" s="2"/>
      <c r="I49" s="97">
        <v>158</v>
      </c>
      <c r="J49" s="95">
        <v>151</v>
      </c>
      <c r="K49" s="95">
        <v>134</v>
      </c>
      <c r="L49" s="95">
        <v>158</v>
      </c>
      <c r="M49" s="98">
        <v>601</v>
      </c>
      <c r="N49" s="2"/>
      <c r="O49" s="97">
        <v>129</v>
      </c>
      <c r="P49" s="95">
        <v>133</v>
      </c>
      <c r="Q49" s="95">
        <v>124</v>
      </c>
      <c r="R49" s="95">
        <v>119</v>
      </c>
      <c r="S49" s="98">
        <v>505</v>
      </c>
      <c r="T49" s="2"/>
      <c r="U49" s="97">
        <v>114</v>
      </c>
      <c r="V49" s="95">
        <v>125</v>
      </c>
      <c r="W49" s="95">
        <v>109</v>
      </c>
      <c r="X49" s="95">
        <v>125</v>
      </c>
      <c r="Y49" s="98">
        <v>473</v>
      </c>
      <c r="Z49" s="2"/>
      <c r="AA49" s="97">
        <v>129</v>
      </c>
      <c r="AB49" s="95">
        <v>125</v>
      </c>
      <c r="AC49" s="95">
        <v>111</v>
      </c>
      <c r="AD49" s="95">
        <v>123</v>
      </c>
      <c r="AE49" s="98">
        <v>488</v>
      </c>
      <c r="AF49" s="2"/>
      <c r="AG49" s="97">
        <v>107</v>
      </c>
      <c r="AH49" s="95">
        <v>117</v>
      </c>
      <c r="AI49" s="95">
        <v>91</v>
      </c>
      <c r="AJ49" s="95">
        <v>108</v>
      </c>
      <c r="AK49" s="98">
        <v>423</v>
      </c>
      <c r="AL49" s="2"/>
      <c r="AM49" s="97">
        <v>105</v>
      </c>
      <c r="AN49" s="95">
        <v>112</v>
      </c>
      <c r="AO49" s="95">
        <v>93</v>
      </c>
      <c r="AP49" s="95">
        <v>91.9</v>
      </c>
      <c r="AQ49" s="98">
        <v>401.9</v>
      </c>
      <c r="AR49" s="95"/>
      <c r="AS49" s="97">
        <v>101</v>
      </c>
      <c r="AT49" s="95">
        <v>107</v>
      </c>
      <c r="AU49" s="95">
        <v>84</v>
      </c>
      <c r="AV49" s="95">
        <v>125</v>
      </c>
      <c r="AW49" s="98">
        <v>417</v>
      </c>
      <c r="AX49" s="95"/>
      <c r="AY49" s="97">
        <v>118</v>
      </c>
      <c r="AZ49" s="95">
        <v>128</v>
      </c>
      <c r="BA49" s="95">
        <v>128</v>
      </c>
      <c r="BB49" s="95">
        <v>152</v>
      </c>
      <c r="BC49" s="98">
        <v>526</v>
      </c>
      <c r="BD49" s="95"/>
      <c r="BE49" s="97">
        <v>158</v>
      </c>
      <c r="BF49" s="95">
        <v>186</v>
      </c>
      <c r="BG49" s="95">
        <v>164</v>
      </c>
      <c r="BH49" s="95">
        <v>157</v>
      </c>
      <c r="BI49" s="98">
        <v>665</v>
      </c>
      <c r="BJ49" s="95"/>
      <c r="BK49" s="97">
        <v>139</v>
      </c>
      <c r="BL49" s="95">
        <v>149</v>
      </c>
      <c r="BM49" s="95">
        <v>146</v>
      </c>
      <c r="BN49" s="95">
        <v>180</v>
      </c>
      <c r="BO49" s="98">
        <v>614</v>
      </c>
      <c r="BP49" s="62"/>
      <c r="BQ49" s="97">
        <v>148</v>
      </c>
      <c r="BR49" s="95">
        <v>162</v>
      </c>
      <c r="BS49" s="95">
        <v>147</v>
      </c>
      <c r="BT49" s="95">
        <v>154</v>
      </c>
      <c r="BU49" s="98">
        <v>611</v>
      </c>
      <c r="BV49" s="99"/>
      <c r="BW49" s="97">
        <v>152</v>
      </c>
      <c r="BX49" s="100">
        <v>153</v>
      </c>
      <c r="BY49" s="100">
        <v>153</v>
      </c>
      <c r="BZ49" s="100">
        <f>CA49-BY49-BX49-BW49</f>
        <v>160</v>
      </c>
      <c r="CA49" s="98">
        <v>618</v>
      </c>
      <c r="CB49" s="59"/>
      <c r="CC49" s="97">
        <v>192</v>
      </c>
      <c r="CD49" s="100">
        <v>187</v>
      </c>
      <c r="CE49" s="100">
        <v>176</v>
      </c>
      <c r="CF49" s="100">
        <f>CG49-CE49-CD49-CC49</f>
        <v>223</v>
      </c>
      <c r="CG49" s="98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1.25" customHeight="1" x14ac:dyDescent="0.2">
      <c r="A50" s="30" t="s">
        <v>33</v>
      </c>
      <c r="B50" s="88"/>
      <c r="C50" s="97">
        <v>197</v>
      </c>
      <c r="D50" s="95">
        <v>206</v>
      </c>
      <c r="E50" s="95">
        <v>201</v>
      </c>
      <c r="F50" s="95">
        <v>226</v>
      </c>
      <c r="G50" s="98">
        <v>830</v>
      </c>
      <c r="H50" s="2"/>
      <c r="I50" s="97">
        <v>174</v>
      </c>
      <c r="J50" s="95">
        <v>202</v>
      </c>
      <c r="K50" s="95">
        <v>214</v>
      </c>
      <c r="L50" s="95">
        <v>307</v>
      </c>
      <c r="M50" s="98">
        <v>897</v>
      </c>
      <c r="N50" s="2"/>
      <c r="O50" s="97">
        <v>219</v>
      </c>
      <c r="P50" s="95">
        <v>244</v>
      </c>
      <c r="Q50" s="95">
        <v>280</v>
      </c>
      <c r="R50" s="95">
        <v>309</v>
      </c>
      <c r="S50" s="98">
        <v>1052</v>
      </c>
      <c r="T50" s="2"/>
      <c r="U50" s="97">
        <v>205</v>
      </c>
      <c r="V50" s="95">
        <v>201</v>
      </c>
      <c r="W50" s="95">
        <v>248</v>
      </c>
      <c r="X50" s="95">
        <v>306</v>
      </c>
      <c r="Y50" s="98">
        <v>960</v>
      </c>
      <c r="Z50" s="2"/>
      <c r="AA50" s="97">
        <v>233</v>
      </c>
      <c r="AB50" s="95">
        <v>271</v>
      </c>
      <c r="AC50" s="95">
        <v>310</v>
      </c>
      <c r="AD50" s="95">
        <v>294</v>
      </c>
      <c r="AE50" s="98">
        <v>1108</v>
      </c>
      <c r="AF50" s="2"/>
      <c r="AG50" s="97">
        <v>219</v>
      </c>
      <c r="AH50" s="95">
        <v>251</v>
      </c>
      <c r="AI50" s="95">
        <v>251</v>
      </c>
      <c r="AJ50" s="95">
        <v>315</v>
      </c>
      <c r="AK50" s="98">
        <v>1036</v>
      </c>
      <c r="AL50" s="2"/>
      <c r="AM50" s="97">
        <v>235</v>
      </c>
      <c r="AN50" s="95">
        <v>270</v>
      </c>
      <c r="AO50" s="95">
        <v>332</v>
      </c>
      <c r="AP50" s="95">
        <v>362</v>
      </c>
      <c r="AQ50" s="98">
        <v>1199</v>
      </c>
      <c r="AR50" s="95"/>
      <c r="AS50" s="97">
        <v>294</v>
      </c>
      <c r="AT50" s="95">
        <v>284</v>
      </c>
      <c r="AU50" s="95">
        <v>316</v>
      </c>
      <c r="AV50" s="95">
        <v>386</v>
      </c>
      <c r="AW50" s="98">
        <v>1280</v>
      </c>
      <c r="AX50" s="95"/>
      <c r="AY50" s="97">
        <v>272</v>
      </c>
      <c r="AZ50" s="95">
        <v>358</v>
      </c>
      <c r="BA50" s="95">
        <v>563</v>
      </c>
      <c r="BB50" s="95">
        <v>616</v>
      </c>
      <c r="BC50" s="98">
        <v>1809</v>
      </c>
      <c r="BD50" s="95"/>
      <c r="BE50" s="97">
        <v>374</v>
      </c>
      <c r="BF50" s="95">
        <v>488</v>
      </c>
      <c r="BG50" s="95">
        <v>493</v>
      </c>
      <c r="BH50" s="95">
        <v>505</v>
      </c>
      <c r="BI50" s="98">
        <v>1860</v>
      </c>
      <c r="BJ50" s="95"/>
      <c r="BK50" s="97">
        <v>383</v>
      </c>
      <c r="BL50" s="95">
        <v>411</v>
      </c>
      <c r="BM50" s="95">
        <v>470</v>
      </c>
      <c r="BN50" s="95">
        <v>407</v>
      </c>
      <c r="BO50" s="98">
        <v>1671</v>
      </c>
      <c r="BP50" s="62"/>
      <c r="BQ50" s="97">
        <v>409</v>
      </c>
      <c r="BR50" s="95">
        <v>403</v>
      </c>
      <c r="BS50" s="95">
        <v>433</v>
      </c>
      <c r="BT50" s="95">
        <v>465</v>
      </c>
      <c r="BU50" s="98">
        <v>1710</v>
      </c>
      <c r="BV50" s="99"/>
      <c r="BW50" s="97">
        <v>391</v>
      </c>
      <c r="BX50" s="100">
        <v>370</v>
      </c>
      <c r="BY50" s="100">
        <v>449</v>
      </c>
      <c r="BZ50" s="100">
        <f t="shared" ref="BZ50:BZ56" si="0">CA50-BY50-BX50-BW50</f>
        <v>498</v>
      </c>
      <c r="CA50" s="98">
        <v>1708</v>
      </c>
      <c r="CB50" s="2"/>
      <c r="CC50" s="97">
        <v>423</v>
      </c>
      <c r="CD50" s="100">
        <v>411</v>
      </c>
      <c r="CE50" s="100">
        <v>481</v>
      </c>
      <c r="CF50" s="100">
        <f>CG50-CE50-CD50-CC50</f>
        <v>608</v>
      </c>
      <c r="CG50" s="98">
        <f>2701-CG49</f>
        <v>1923</v>
      </c>
      <c r="CH50" s="2"/>
      <c r="CI50" s="2"/>
      <c r="CJ50" s="2"/>
      <c r="CK50" s="101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1.25" customHeight="1" x14ac:dyDescent="0.2">
      <c r="A51" s="30" t="s">
        <v>34</v>
      </c>
      <c r="B51" s="88"/>
      <c r="C51" s="97">
        <v>187</v>
      </c>
      <c r="D51" s="95">
        <v>205</v>
      </c>
      <c r="E51" s="95">
        <v>218</v>
      </c>
      <c r="F51" s="95">
        <v>179</v>
      </c>
      <c r="G51" s="98">
        <v>789</v>
      </c>
      <c r="H51" s="2"/>
      <c r="I51" s="97">
        <v>155</v>
      </c>
      <c r="J51" s="95">
        <v>186</v>
      </c>
      <c r="K51" s="95">
        <v>186</v>
      </c>
      <c r="L51" s="95">
        <v>251</v>
      </c>
      <c r="M51" s="98">
        <v>778</v>
      </c>
      <c r="N51" s="2"/>
      <c r="O51" s="97">
        <v>199</v>
      </c>
      <c r="P51" s="95">
        <v>217</v>
      </c>
      <c r="Q51" s="95">
        <v>221</v>
      </c>
      <c r="R51" s="95">
        <v>186</v>
      </c>
      <c r="S51" s="98">
        <v>823</v>
      </c>
      <c r="T51" s="2"/>
      <c r="U51" s="97">
        <v>185</v>
      </c>
      <c r="V51" s="95">
        <v>256.2</v>
      </c>
      <c r="W51" s="95">
        <v>267</v>
      </c>
      <c r="X51" s="95">
        <v>213</v>
      </c>
      <c r="Y51" s="98">
        <v>921.2</v>
      </c>
      <c r="Z51" s="2"/>
      <c r="AA51" s="97">
        <v>211</v>
      </c>
      <c r="AB51" s="95">
        <v>243</v>
      </c>
      <c r="AC51" s="95">
        <v>286</v>
      </c>
      <c r="AD51" s="95">
        <v>230</v>
      </c>
      <c r="AE51" s="98">
        <v>970</v>
      </c>
      <c r="AF51" s="2"/>
      <c r="AG51" s="97">
        <v>241</v>
      </c>
      <c r="AH51" s="95">
        <v>257</v>
      </c>
      <c r="AI51" s="95">
        <v>279</v>
      </c>
      <c r="AJ51" s="95">
        <v>218</v>
      </c>
      <c r="AK51" s="98">
        <v>995</v>
      </c>
      <c r="AL51" s="2"/>
      <c r="AM51" s="97">
        <v>222</v>
      </c>
      <c r="AN51" s="95">
        <v>263</v>
      </c>
      <c r="AO51" s="95">
        <v>288</v>
      </c>
      <c r="AP51" s="95">
        <v>245</v>
      </c>
      <c r="AQ51" s="98">
        <v>1018</v>
      </c>
      <c r="AR51" s="95"/>
      <c r="AS51" s="97">
        <v>234</v>
      </c>
      <c r="AT51" s="95">
        <v>277</v>
      </c>
      <c r="AU51" s="95">
        <v>285</v>
      </c>
      <c r="AV51" s="95">
        <v>298</v>
      </c>
      <c r="AW51" s="98">
        <v>1094</v>
      </c>
      <c r="AX51" s="95"/>
      <c r="AY51" s="97">
        <v>299</v>
      </c>
      <c r="AZ51" s="95">
        <v>356</v>
      </c>
      <c r="BA51" s="95">
        <v>385</v>
      </c>
      <c r="BB51" s="95">
        <v>353</v>
      </c>
      <c r="BC51" s="98">
        <v>1393</v>
      </c>
      <c r="BD51" s="95"/>
      <c r="BE51" s="97">
        <v>322</v>
      </c>
      <c r="BF51" s="95">
        <v>390</v>
      </c>
      <c r="BG51" s="95">
        <v>408</v>
      </c>
      <c r="BH51" s="95">
        <v>354</v>
      </c>
      <c r="BI51" s="98">
        <v>1474</v>
      </c>
      <c r="BJ51" s="95"/>
      <c r="BK51" s="97">
        <v>342</v>
      </c>
      <c r="BL51" s="95">
        <v>404</v>
      </c>
      <c r="BM51" s="95">
        <v>397</v>
      </c>
      <c r="BN51" s="95">
        <v>377</v>
      </c>
      <c r="BO51" s="98">
        <v>1520</v>
      </c>
      <c r="BP51" s="62"/>
      <c r="BQ51" s="97">
        <v>322</v>
      </c>
      <c r="BR51" s="95">
        <v>413</v>
      </c>
      <c r="BS51" s="95">
        <v>467</v>
      </c>
      <c r="BT51" s="95">
        <v>403</v>
      </c>
      <c r="BU51" s="98">
        <v>1605</v>
      </c>
      <c r="BV51" s="99"/>
      <c r="BW51" s="97">
        <v>353</v>
      </c>
      <c r="BX51" s="100">
        <v>435</v>
      </c>
      <c r="BY51" s="100">
        <v>502</v>
      </c>
      <c r="BZ51" s="100">
        <f t="shared" si="0"/>
        <v>428</v>
      </c>
      <c r="CA51" s="98">
        <v>1718</v>
      </c>
      <c r="CB51" s="2"/>
      <c r="CC51" s="97">
        <v>386</v>
      </c>
      <c r="CD51" s="100">
        <v>312</v>
      </c>
      <c r="CE51" s="100">
        <v>485</v>
      </c>
      <c r="CF51" s="100">
        <f>CG51-CE51-CD51-CC51</f>
        <v>407</v>
      </c>
      <c r="CG51" s="98">
        <v>1590</v>
      </c>
      <c r="CH51" s="2"/>
      <c r="CI51" s="144"/>
      <c r="CJ51" s="2"/>
      <c r="CK51" s="85"/>
      <c r="CL51" s="2"/>
      <c r="CM51" s="59"/>
      <c r="CN51" s="2"/>
      <c r="CO51" s="2"/>
      <c r="CP51" s="2"/>
      <c r="CQ51" s="2"/>
      <c r="CR51" s="2"/>
      <c r="CS51" s="2"/>
      <c r="CT51" s="2"/>
    </row>
    <row r="52" spans="1:98" ht="11.25" customHeight="1" x14ac:dyDescent="0.2">
      <c r="A52" s="30" t="s">
        <v>35</v>
      </c>
      <c r="B52" s="88"/>
      <c r="C52" s="97">
        <v>1</v>
      </c>
      <c r="D52" s="95">
        <v>2</v>
      </c>
      <c r="E52" s="95">
        <v>4</v>
      </c>
      <c r="F52" s="95">
        <v>5</v>
      </c>
      <c r="G52" s="98">
        <v>12</v>
      </c>
      <c r="H52" s="2"/>
      <c r="I52" s="97">
        <v>1</v>
      </c>
      <c r="J52" s="95">
        <v>2</v>
      </c>
      <c r="K52" s="95">
        <v>3</v>
      </c>
      <c r="L52" s="95">
        <v>2</v>
      </c>
      <c r="M52" s="98">
        <v>8</v>
      </c>
      <c r="N52" s="2"/>
      <c r="O52" s="97">
        <v>1</v>
      </c>
      <c r="P52" s="95">
        <v>1</v>
      </c>
      <c r="Q52" s="95">
        <v>1</v>
      </c>
      <c r="R52" s="95">
        <v>3</v>
      </c>
      <c r="S52" s="98">
        <v>6</v>
      </c>
      <c r="T52" s="2"/>
      <c r="U52" s="97">
        <v>1</v>
      </c>
      <c r="V52" s="95">
        <v>1</v>
      </c>
      <c r="W52" s="95">
        <v>1</v>
      </c>
      <c r="X52" s="95">
        <v>2</v>
      </c>
      <c r="Y52" s="98">
        <v>5</v>
      </c>
      <c r="Z52" s="2"/>
      <c r="AA52" s="97">
        <v>1</v>
      </c>
      <c r="AB52" s="95">
        <v>3</v>
      </c>
      <c r="AC52" s="95">
        <v>14</v>
      </c>
      <c r="AD52" s="95">
        <v>6</v>
      </c>
      <c r="AE52" s="98">
        <v>24</v>
      </c>
      <c r="AF52" s="2"/>
      <c r="AG52" s="97">
        <v>6</v>
      </c>
      <c r="AH52" s="95">
        <v>5</v>
      </c>
      <c r="AI52" s="95">
        <v>5</v>
      </c>
      <c r="AJ52" s="95">
        <v>13</v>
      </c>
      <c r="AK52" s="98">
        <v>29</v>
      </c>
      <c r="AL52" s="2"/>
      <c r="AM52" s="97">
        <v>3</v>
      </c>
      <c r="AN52" s="95">
        <v>6</v>
      </c>
      <c r="AO52" s="95">
        <v>7</v>
      </c>
      <c r="AP52" s="95">
        <v>2</v>
      </c>
      <c r="AQ52" s="98">
        <v>18</v>
      </c>
      <c r="AR52" s="95"/>
      <c r="AS52" s="97">
        <v>4</v>
      </c>
      <c r="AT52" s="95">
        <v>9.8000000000000007</v>
      </c>
      <c r="AU52" s="95">
        <v>10</v>
      </c>
      <c r="AV52" s="95">
        <v>7.9</v>
      </c>
      <c r="AW52" s="98">
        <v>31.700000000000003</v>
      </c>
      <c r="AX52" s="95"/>
      <c r="AY52" s="97">
        <v>10</v>
      </c>
      <c r="AZ52" s="95">
        <v>13</v>
      </c>
      <c r="BA52" s="95">
        <v>34</v>
      </c>
      <c r="BB52" s="95">
        <v>18</v>
      </c>
      <c r="BC52" s="98">
        <v>75</v>
      </c>
      <c r="BD52" s="95"/>
      <c r="BE52" s="97">
        <v>15</v>
      </c>
      <c r="BF52" s="95">
        <v>25</v>
      </c>
      <c r="BG52" s="95">
        <v>14</v>
      </c>
      <c r="BH52" s="95">
        <v>12</v>
      </c>
      <c r="BI52" s="98">
        <v>66</v>
      </c>
      <c r="BJ52" s="95"/>
      <c r="BK52" s="97">
        <v>13</v>
      </c>
      <c r="BL52" s="95">
        <v>11</v>
      </c>
      <c r="BM52" s="95">
        <v>11</v>
      </c>
      <c r="BN52" s="95">
        <v>31</v>
      </c>
      <c r="BO52" s="98">
        <v>66</v>
      </c>
      <c r="BP52" s="62"/>
      <c r="BQ52" s="97">
        <v>55</v>
      </c>
      <c r="BR52" s="95">
        <v>77</v>
      </c>
      <c r="BS52" s="95">
        <v>88</v>
      </c>
      <c r="BT52" s="95">
        <v>119</v>
      </c>
      <c r="BU52" s="98">
        <v>339</v>
      </c>
      <c r="BV52" s="99"/>
      <c r="BW52" s="97">
        <v>146</v>
      </c>
      <c r="BX52" s="100">
        <v>130</v>
      </c>
      <c r="BY52" s="100">
        <v>134</v>
      </c>
      <c r="BZ52" s="100">
        <f t="shared" si="0"/>
        <v>179</v>
      </c>
      <c r="CA52" s="98">
        <v>589</v>
      </c>
      <c r="CB52" s="2"/>
      <c r="CC52" s="97">
        <v>167</v>
      </c>
      <c r="CD52" s="100">
        <v>145</v>
      </c>
      <c r="CE52" s="100">
        <v>145</v>
      </c>
      <c r="CF52" s="100">
        <f>CG52-CE52-CD52-CC52</f>
        <v>188</v>
      </c>
      <c r="CG52" s="98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x14ac:dyDescent="0.2">
      <c r="A53" s="51" t="s">
        <v>36</v>
      </c>
      <c r="B53" s="88"/>
      <c r="C53" s="102">
        <v>496</v>
      </c>
      <c r="D53" s="103">
        <v>565</v>
      </c>
      <c r="E53" s="103">
        <v>565</v>
      </c>
      <c r="F53" s="103">
        <v>616</v>
      </c>
      <c r="G53" s="104">
        <v>2242</v>
      </c>
      <c r="H53" s="2"/>
      <c r="I53" s="102">
        <v>488</v>
      </c>
      <c r="J53" s="103">
        <v>541</v>
      </c>
      <c r="K53" s="103">
        <v>537</v>
      </c>
      <c r="L53" s="103">
        <v>718</v>
      </c>
      <c r="M53" s="104">
        <v>2284</v>
      </c>
      <c r="N53" s="2"/>
      <c r="O53" s="102">
        <v>548</v>
      </c>
      <c r="P53" s="103">
        <v>595</v>
      </c>
      <c r="Q53" s="103">
        <v>626</v>
      </c>
      <c r="R53" s="103">
        <v>617</v>
      </c>
      <c r="S53" s="104">
        <v>2386</v>
      </c>
      <c r="T53" s="2"/>
      <c r="U53" s="102">
        <v>505</v>
      </c>
      <c r="V53" s="103">
        <v>583.20000000000005</v>
      </c>
      <c r="W53" s="103">
        <v>625</v>
      </c>
      <c r="X53" s="103">
        <v>646</v>
      </c>
      <c r="Y53" s="104">
        <v>2359.1999999999998</v>
      </c>
      <c r="Z53" s="2"/>
      <c r="AA53" s="102">
        <v>574</v>
      </c>
      <c r="AB53" s="103">
        <v>642</v>
      </c>
      <c r="AC53" s="103">
        <v>721</v>
      </c>
      <c r="AD53" s="103">
        <v>653</v>
      </c>
      <c r="AE53" s="104">
        <v>2590</v>
      </c>
      <c r="AF53" s="2"/>
      <c r="AG53" s="102">
        <v>573</v>
      </c>
      <c r="AH53" s="103">
        <v>630</v>
      </c>
      <c r="AI53" s="103">
        <v>626</v>
      </c>
      <c r="AJ53" s="103">
        <v>654</v>
      </c>
      <c r="AK53" s="104">
        <v>2483</v>
      </c>
      <c r="AL53" s="2"/>
      <c r="AM53" s="102">
        <v>565</v>
      </c>
      <c r="AN53" s="103">
        <v>651</v>
      </c>
      <c r="AO53" s="103">
        <v>720</v>
      </c>
      <c r="AP53" s="103">
        <v>700.9</v>
      </c>
      <c r="AQ53" s="104">
        <v>2636.9</v>
      </c>
      <c r="AR53" s="95"/>
      <c r="AS53" s="102">
        <v>633</v>
      </c>
      <c r="AT53" s="103">
        <v>677.8</v>
      </c>
      <c r="AU53" s="103">
        <v>695</v>
      </c>
      <c r="AV53" s="103">
        <v>816.9</v>
      </c>
      <c r="AW53" s="104">
        <v>2822.7</v>
      </c>
      <c r="AX53" s="95"/>
      <c r="AY53" s="102">
        <v>699</v>
      </c>
      <c r="AZ53" s="103">
        <v>855</v>
      </c>
      <c r="BA53" s="103">
        <v>1110</v>
      </c>
      <c r="BB53" s="103">
        <v>1139</v>
      </c>
      <c r="BC53" s="104">
        <v>3803</v>
      </c>
      <c r="BD53" s="95"/>
      <c r="BE53" s="102">
        <v>869</v>
      </c>
      <c r="BF53" s="103">
        <v>1089</v>
      </c>
      <c r="BG53" s="103">
        <v>1079</v>
      </c>
      <c r="BH53" s="103">
        <v>1028</v>
      </c>
      <c r="BI53" s="104">
        <v>4065</v>
      </c>
      <c r="BJ53" s="95"/>
      <c r="BK53" s="102">
        <v>877</v>
      </c>
      <c r="BL53" s="103">
        <v>975</v>
      </c>
      <c r="BM53" s="103">
        <v>1024</v>
      </c>
      <c r="BN53" s="103">
        <v>995</v>
      </c>
      <c r="BO53" s="104">
        <v>3871</v>
      </c>
      <c r="BP53" s="62"/>
      <c r="BQ53" s="102">
        <v>934</v>
      </c>
      <c r="BR53" s="103">
        <v>1055</v>
      </c>
      <c r="BS53" s="103">
        <v>1135</v>
      </c>
      <c r="BT53" s="103">
        <v>1141</v>
      </c>
      <c r="BU53" s="104">
        <v>4265</v>
      </c>
      <c r="BV53" s="99"/>
      <c r="BW53" s="102">
        <f>SUM(BW49:BW52)</f>
        <v>1042</v>
      </c>
      <c r="BX53" s="105">
        <f>SUM(BX49:BX52)</f>
        <v>1088</v>
      </c>
      <c r="BY53" s="105">
        <f>SUM(BY49:BY52)</f>
        <v>1238</v>
      </c>
      <c r="BZ53" s="105">
        <f>SUM(BZ49:BZ52)</f>
        <v>1265</v>
      </c>
      <c r="CA53" s="104">
        <f>SUM(CA49:CA52)</f>
        <v>4633</v>
      </c>
      <c r="CB53" s="2"/>
      <c r="CC53" s="102">
        <f>SUM(CC49:CC52)</f>
        <v>1168</v>
      </c>
      <c r="CD53" s="105">
        <f>SUM(CD49:CD52)</f>
        <v>1055</v>
      </c>
      <c r="CE53" s="105">
        <f>SUM(CE49:CE52)</f>
        <v>1287</v>
      </c>
      <c r="CF53" s="105">
        <f>SUM(CF49:CF52)</f>
        <v>1426</v>
      </c>
      <c r="CG53" s="104">
        <f>SUM(CG49:CG52)</f>
        <v>4936</v>
      </c>
      <c r="CH53" s="2"/>
      <c r="CI53" s="59"/>
      <c r="CJ53" s="2"/>
      <c r="CK53" s="2"/>
      <c r="CL53" s="2"/>
      <c r="CM53" s="2"/>
      <c r="CN53" s="2"/>
      <c r="CO53" s="2"/>
      <c r="CP53" s="115"/>
      <c r="CQ53" s="115"/>
      <c r="CR53" s="2"/>
      <c r="CS53" s="2"/>
      <c r="CT53" s="2"/>
    </row>
    <row r="54" spans="1:98" x14ac:dyDescent="0.2">
      <c r="A54" s="30" t="s">
        <v>16</v>
      </c>
      <c r="B54" s="88"/>
      <c r="C54" s="97">
        <v>181</v>
      </c>
      <c r="D54" s="95">
        <v>216.5</v>
      </c>
      <c r="E54" s="95">
        <v>233.4</v>
      </c>
      <c r="F54" s="95">
        <v>235.6</v>
      </c>
      <c r="G54" s="98">
        <v>866.5</v>
      </c>
      <c r="H54" s="2"/>
      <c r="I54" s="97">
        <v>194</v>
      </c>
      <c r="J54" s="95">
        <v>228</v>
      </c>
      <c r="K54" s="95">
        <v>221</v>
      </c>
      <c r="L54" s="95">
        <v>270</v>
      </c>
      <c r="M54" s="98">
        <v>913</v>
      </c>
      <c r="N54" s="2"/>
      <c r="O54" s="97">
        <v>228.6</v>
      </c>
      <c r="P54" s="95">
        <v>251.60000000000002</v>
      </c>
      <c r="Q54" s="95">
        <v>274</v>
      </c>
      <c r="R54" s="95">
        <v>227</v>
      </c>
      <c r="S54" s="98">
        <v>981.2</v>
      </c>
      <c r="T54" s="2"/>
      <c r="U54" s="97">
        <v>214</v>
      </c>
      <c r="V54" s="95">
        <v>241</v>
      </c>
      <c r="W54" s="95">
        <v>268</v>
      </c>
      <c r="X54" s="95">
        <v>279</v>
      </c>
      <c r="Y54" s="98">
        <v>1002</v>
      </c>
      <c r="Z54" s="2"/>
      <c r="AA54" s="97">
        <v>245</v>
      </c>
      <c r="AB54" s="95">
        <v>277</v>
      </c>
      <c r="AC54" s="95">
        <v>290</v>
      </c>
      <c r="AD54" s="95">
        <v>280</v>
      </c>
      <c r="AE54" s="98">
        <v>1092</v>
      </c>
      <c r="AF54" s="2"/>
      <c r="AG54" s="97">
        <v>250</v>
      </c>
      <c r="AH54" s="95">
        <v>281</v>
      </c>
      <c r="AI54" s="95">
        <v>264</v>
      </c>
      <c r="AJ54" s="95">
        <v>293</v>
      </c>
      <c r="AK54" s="98">
        <v>1088</v>
      </c>
      <c r="AL54" s="2"/>
      <c r="AM54" s="97">
        <v>242</v>
      </c>
      <c r="AN54" s="95">
        <v>273</v>
      </c>
      <c r="AO54" s="95">
        <v>301</v>
      </c>
      <c r="AP54" s="95">
        <v>297</v>
      </c>
      <c r="AQ54" s="98">
        <v>1113</v>
      </c>
      <c r="AR54" s="95"/>
      <c r="AS54" s="97">
        <v>271</v>
      </c>
      <c r="AT54" s="95">
        <v>285.2</v>
      </c>
      <c r="AU54" s="95">
        <v>291</v>
      </c>
      <c r="AV54" s="95">
        <v>342</v>
      </c>
      <c r="AW54" s="98">
        <v>1189.2</v>
      </c>
      <c r="AX54" s="95"/>
      <c r="AY54" s="97">
        <v>291</v>
      </c>
      <c r="AZ54" s="95">
        <v>347</v>
      </c>
      <c r="BA54" s="95">
        <v>431</v>
      </c>
      <c r="BB54" s="95">
        <v>441</v>
      </c>
      <c r="BC54" s="98">
        <v>1510</v>
      </c>
      <c r="BD54" s="95"/>
      <c r="BE54" s="97">
        <v>352</v>
      </c>
      <c r="BF54" s="95">
        <v>455</v>
      </c>
      <c r="BG54" s="95">
        <v>455</v>
      </c>
      <c r="BH54" s="95">
        <v>402</v>
      </c>
      <c r="BI54" s="98">
        <v>1664</v>
      </c>
      <c r="BJ54" s="95"/>
      <c r="BK54" s="97">
        <v>351</v>
      </c>
      <c r="BL54" s="95">
        <v>411</v>
      </c>
      <c r="BM54" s="95">
        <v>438</v>
      </c>
      <c r="BN54" s="95">
        <v>401</v>
      </c>
      <c r="BO54" s="98">
        <v>1601</v>
      </c>
      <c r="BP54" s="62"/>
      <c r="BQ54" s="97">
        <v>374</v>
      </c>
      <c r="BR54" s="95">
        <v>441</v>
      </c>
      <c r="BS54" s="95">
        <v>484</v>
      </c>
      <c r="BT54" s="95">
        <v>452</v>
      </c>
      <c r="BU54" s="98">
        <v>1751</v>
      </c>
      <c r="BV54" s="95"/>
      <c r="BW54" s="97">
        <v>417</v>
      </c>
      <c r="BX54" s="100">
        <v>471</v>
      </c>
      <c r="BY54" s="100">
        <v>534</v>
      </c>
      <c r="BZ54" s="100">
        <f t="shared" si="0"/>
        <v>506</v>
      </c>
      <c r="CA54" s="98">
        <f>1943-15</f>
        <v>1928</v>
      </c>
      <c r="CB54" s="2"/>
      <c r="CC54" s="97">
        <v>462</v>
      </c>
      <c r="CD54" s="100">
        <v>408</v>
      </c>
      <c r="CE54" s="100">
        <v>574</v>
      </c>
      <c r="CF54" s="100">
        <f>CG54-CE54-CD54-CC54</f>
        <v>598</v>
      </c>
      <c r="CG54" s="98">
        <v>2042</v>
      </c>
      <c r="CH54" s="2"/>
      <c r="CI54" s="5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s="38" customFormat="1" x14ac:dyDescent="0.2">
      <c r="A55" s="32" t="s">
        <v>37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7">
        <v>0.4105509964830012</v>
      </c>
      <c r="BV55" s="42"/>
      <c r="BW55" s="151">
        <f>BW54/BW53</f>
        <v>0.40019193857965452</v>
      </c>
      <c r="BX55" s="152">
        <f>BX54/BX53</f>
        <v>0.4329044117647059</v>
      </c>
      <c r="BY55" s="152">
        <f>BY54/BY53</f>
        <v>0.43134087237479807</v>
      </c>
      <c r="BZ55" s="152">
        <f>BZ54/BZ53</f>
        <v>0.4</v>
      </c>
      <c r="CA55" s="57">
        <f>CA54/CA53</f>
        <v>0.4161450464062163</v>
      </c>
      <c r="CB55" s="39"/>
      <c r="CC55" s="151">
        <f>CC54/CC53</f>
        <v>0.39554794520547948</v>
      </c>
      <c r="CD55" s="152">
        <f>CD54/CD53</f>
        <v>0.38672985781990521</v>
      </c>
      <c r="CE55" s="152">
        <f>CE54/CE53</f>
        <v>0.44599844599844601</v>
      </c>
      <c r="CF55" s="152">
        <f>CF54/CF53</f>
        <v>0.41935483870967744</v>
      </c>
      <c r="CG55" s="57">
        <f>CG54/CG53</f>
        <v>0.41369529983792547</v>
      </c>
      <c r="CI55" s="59"/>
      <c r="CM55" s="39"/>
      <c r="CN55" s="39"/>
      <c r="CO55" s="149"/>
      <c r="CR55" s="149"/>
      <c r="CT55" s="149"/>
    </row>
    <row r="56" spans="1:98" x14ac:dyDescent="0.2">
      <c r="A56" s="30" t="s">
        <v>18</v>
      </c>
      <c r="B56" s="106"/>
      <c r="C56" s="97">
        <v>141</v>
      </c>
      <c r="D56" s="95">
        <v>146</v>
      </c>
      <c r="E56" s="95">
        <v>127</v>
      </c>
      <c r="F56" s="95">
        <v>140</v>
      </c>
      <c r="G56" s="98">
        <v>554</v>
      </c>
      <c r="H56" s="2"/>
      <c r="I56" s="97">
        <v>146</v>
      </c>
      <c r="J56" s="95">
        <v>148</v>
      </c>
      <c r="K56" s="95">
        <v>150</v>
      </c>
      <c r="L56" s="95">
        <v>150</v>
      </c>
      <c r="M56" s="98">
        <v>594</v>
      </c>
      <c r="N56" s="2"/>
      <c r="O56" s="97">
        <v>139</v>
      </c>
      <c r="P56" s="95">
        <v>143</v>
      </c>
      <c r="Q56" s="95">
        <v>124</v>
      </c>
      <c r="R56" s="95">
        <v>119</v>
      </c>
      <c r="S56" s="98">
        <v>525</v>
      </c>
      <c r="T56" s="2"/>
      <c r="U56" s="97">
        <v>139</v>
      </c>
      <c r="V56" s="95">
        <v>147</v>
      </c>
      <c r="W56" s="95">
        <v>145</v>
      </c>
      <c r="X56" s="95">
        <v>183</v>
      </c>
      <c r="Y56" s="98">
        <v>614</v>
      </c>
      <c r="Z56" s="2"/>
      <c r="AA56" s="97">
        <v>148</v>
      </c>
      <c r="AB56" s="95">
        <v>146</v>
      </c>
      <c r="AC56" s="95">
        <v>138</v>
      </c>
      <c r="AD56" s="95">
        <v>151</v>
      </c>
      <c r="AE56" s="98">
        <v>583</v>
      </c>
      <c r="AF56" s="2"/>
      <c r="AG56" s="97">
        <v>144</v>
      </c>
      <c r="AH56" s="95">
        <v>148</v>
      </c>
      <c r="AI56" s="95">
        <v>136</v>
      </c>
      <c r="AJ56" s="95">
        <v>146</v>
      </c>
      <c r="AK56" s="98">
        <v>574</v>
      </c>
      <c r="AL56" s="2"/>
      <c r="AM56" s="97">
        <v>148</v>
      </c>
      <c r="AN56" s="95">
        <v>147</v>
      </c>
      <c r="AO56" s="95">
        <v>141</v>
      </c>
      <c r="AP56" s="95">
        <v>151</v>
      </c>
      <c r="AQ56" s="98">
        <v>587</v>
      </c>
      <c r="AR56" s="95"/>
      <c r="AS56" s="97">
        <v>160</v>
      </c>
      <c r="AT56" s="95">
        <v>154</v>
      </c>
      <c r="AU56" s="95">
        <v>144</v>
      </c>
      <c r="AV56" s="95">
        <v>170</v>
      </c>
      <c r="AW56" s="98">
        <v>628</v>
      </c>
      <c r="AX56" s="95"/>
      <c r="AY56" s="97">
        <v>183</v>
      </c>
      <c r="AZ56" s="95">
        <v>183</v>
      </c>
      <c r="BA56" s="95">
        <v>184</v>
      </c>
      <c r="BB56" s="95">
        <v>199</v>
      </c>
      <c r="BC56" s="98">
        <v>749</v>
      </c>
      <c r="BD56" s="95"/>
      <c r="BE56" s="97">
        <v>205</v>
      </c>
      <c r="BF56" s="95">
        <v>218</v>
      </c>
      <c r="BG56" s="95">
        <v>194</v>
      </c>
      <c r="BH56" s="95">
        <v>204</v>
      </c>
      <c r="BI56" s="98">
        <v>821</v>
      </c>
      <c r="BJ56" s="95"/>
      <c r="BK56" s="97">
        <v>207</v>
      </c>
      <c r="BL56" s="95">
        <v>220</v>
      </c>
      <c r="BM56" s="95">
        <v>202</v>
      </c>
      <c r="BN56" s="95">
        <v>266</v>
      </c>
      <c r="BO56" s="98">
        <v>895</v>
      </c>
      <c r="BP56" s="62"/>
      <c r="BQ56" s="97">
        <v>253</v>
      </c>
      <c r="BR56" s="95">
        <v>259</v>
      </c>
      <c r="BS56" s="95">
        <v>240</v>
      </c>
      <c r="BT56" s="95">
        <v>273</v>
      </c>
      <c r="BU56" s="98">
        <v>1025</v>
      </c>
      <c r="BV56" s="95"/>
      <c r="BW56" s="97">
        <f>19+259</f>
        <v>278</v>
      </c>
      <c r="BX56" s="100">
        <v>288</v>
      </c>
      <c r="BY56" s="100">
        <v>264</v>
      </c>
      <c r="BZ56" s="100">
        <f t="shared" si="0"/>
        <v>290</v>
      </c>
      <c r="CA56" s="98">
        <f>1163-28-15</f>
        <v>1120</v>
      </c>
      <c r="CB56" s="2"/>
      <c r="CC56" s="97">
        <v>311</v>
      </c>
      <c r="CD56" s="100">
        <v>290</v>
      </c>
      <c r="CE56" s="100">
        <v>258</v>
      </c>
      <c r="CF56" s="100">
        <f>CG56-CE56-CD56-CC56</f>
        <v>302</v>
      </c>
      <c r="CG56" s="98">
        <v>1161</v>
      </c>
      <c r="CH56" s="2"/>
      <c r="CI56" s="59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x14ac:dyDescent="0.2">
      <c r="A57" s="51" t="s">
        <v>107</v>
      </c>
      <c r="B57" s="88"/>
      <c r="C57" s="102">
        <v>40</v>
      </c>
      <c r="D57" s="103">
        <v>70.5</v>
      </c>
      <c r="E57" s="103">
        <v>106.4</v>
      </c>
      <c r="F57" s="103">
        <v>95.6</v>
      </c>
      <c r="G57" s="104">
        <v>312.5</v>
      </c>
      <c r="H57" s="2"/>
      <c r="I57" s="102">
        <v>48</v>
      </c>
      <c r="J57" s="103">
        <v>80</v>
      </c>
      <c r="K57" s="103">
        <v>71</v>
      </c>
      <c r="L57" s="103">
        <v>120</v>
      </c>
      <c r="M57" s="104">
        <v>319</v>
      </c>
      <c r="N57" s="2"/>
      <c r="O57" s="102">
        <v>89.6</v>
      </c>
      <c r="P57" s="103">
        <v>108.60000000000002</v>
      </c>
      <c r="Q57" s="103">
        <v>150</v>
      </c>
      <c r="R57" s="103">
        <v>108</v>
      </c>
      <c r="S57" s="104">
        <v>456.20000000000005</v>
      </c>
      <c r="T57" s="2"/>
      <c r="U57" s="102">
        <v>75</v>
      </c>
      <c r="V57" s="103">
        <v>94</v>
      </c>
      <c r="W57" s="103">
        <v>123</v>
      </c>
      <c r="X57" s="103">
        <v>96</v>
      </c>
      <c r="Y57" s="104">
        <v>388</v>
      </c>
      <c r="Z57" s="2"/>
      <c r="AA57" s="102">
        <v>97</v>
      </c>
      <c r="AB57" s="103">
        <v>131</v>
      </c>
      <c r="AC57" s="103">
        <v>152</v>
      </c>
      <c r="AD57" s="103">
        <v>129</v>
      </c>
      <c r="AE57" s="104">
        <v>509</v>
      </c>
      <c r="AF57" s="2"/>
      <c r="AG57" s="102">
        <v>106</v>
      </c>
      <c r="AH57" s="103">
        <v>133</v>
      </c>
      <c r="AI57" s="103">
        <v>128</v>
      </c>
      <c r="AJ57" s="103">
        <v>147</v>
      </c>
      <c r="AK57" s="104">
        <v>514</v>
      </c>
      <c r="AL57" s="2"/>
      <c r="AM57" s="102">
        <v>94</v>
      </c>
      <c r="AN57" s="103">
        <v>126</v>
      </c>
      <c r="AO57" s="103">
        <v>160</v>
      </c>
      <c r="AP57" s="103">
        <v>146</v>
      </c>
      <c r="AQ57" s="104">
        <v>526</v>
      </c>
      <c r="AR57" s="95"/>
      <c r="AS57" s="102">
        <v>111</v>
      </c>
      <c r="AT57" s="103">
        <v>131.19999999999999</v>
      </c>
      <c r="AU57" s="103">
        <v>147</v>
      </c>
      <c r="AV57" s="103">
        <v>172</v>
      </c>
      <c r="AW57" s="104">
        <v>561.20000000000005</v>
      </c>
      <c r="AX57" s="95"/>
      <c r="AY57" s="102">
        <v>108</v>
      </c>
      <c r="AZ57" s="103">
        <v>164</v>
      </c>
      <c r="BA57" s="103">
        <v>247</v>
      </c>
      <c r="BB57" s="103">
        <v>242</v>
      </c>
      <c r="BC57" s="104">
        <v>761</v>
      </c>
      <c r="BD57" s="95"/>
      <c r="BE57" s="102">
        <v>147</v>
      </c>
      <c r="BF57" s="103">
        <v>237</v>
      </c>
      <c r="BG57" s="103">
        <v>261</v>
      </c>
      <c r="BH57" s="103">
        <v>198</v>
      </c>
      <c r="BI57" s="104">
        <v>843</v>
      </c>
      <c r="BJ57" s="95"/>
      <c r="BK57" s="102">
        <v>144</v>
      </c>
      <c r="BL57" s="103">
        <v>191</v>
      </c>
      <c r="BM57" s="103">
        <v>236</v>
      </c>
      <c r="BN57" s="103">
        <v>135</v>
      </c>
      <c r="BO57" s="104">
        <v>706</v>
      </c>
      <c r="BP57" s="62"/>
      <c r="BQ57" s="102">
        <v>121</v>
      </c>
      <c r="BR57" s="103">
        <v>182</v>
      </c>
      <c r="BS57" s="103">
        <v>244</v>
      </c>
      <c r="BT57" s="103">
        <v>179</v>
      </c>
      <c r="BU57" s="104">
        <v>726</v>
      </c>
      <c r="BV57" s="95"/>
      <c r="BW57" s="102">
        <f>BW54-BW56</f>
        <v>139</v>
      </c>
      <c r="BX57" s="105">
        <f>BX54-BX56</f>
        <v>183</v>
      </c>
      <c r="BY57" s="105">
        <f>BY54-BY56</f>
        <v>270</v>
      </c>
      <c r="BZ57" s="105">
        <f>BZ54-BZ56</f>
        <v>216</v>
      </c>
      <c r="CA57" s="104">
        <f>CA54-CA56</f>
        <v>808</v>
      </c>
      <c r="CB57" s="2"/>
      <c r="CC57" s="102">
        <f>CC54-CC56</f>
        <v>151</v>
      </c>
      <c r="CD57" s="105">
        <f>CD54-CD56</f>
        <v>118</v>
      </c>
      <c r="CE57" s="105">
        <f>CE54-CE56</f>
        <v>316</v>
      </c>
      <c r="CF57" s="105">
        <f>CF54-CF56</f>
        <v>296</v>
      </c>
      <c r="CG57" s="104">
        <f>CG54-CG56</f>
        <v>881</v>
      </c>
      <c r="CH57" s="2"/>
      <c r="CI57" s="59"/>
      <c r="CJ57" s="2"/>
      <c r="CK57" s="2"/>
      <c r="CL57" s="2"/>
      <c r="CM57" s="2"/>
      <c r="CN57" s="2"/>
      <c r="CO57" s="2"/>
      <c r="CP57" s="115"/>
      <c r="CQ57" s="115"/>
      <c r="CR57" s="2"/>
      <c r="CS57" s="2"/>
      <c r="CT57" s="2"/>
    </row>
    <row r="58" spans="1:98" s="38" customFormat="1" x14ac:dyDescent="0.2">
      <c r="A58" s="32" t="s">
        <v>37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51">
        <f t="shared" ref="BW58" si="1">BW57/BW53</f>
        <v>0.13339731285988485</v>
      </c>
      <c r="BX58" s="152">
        <f>BX57/BX53</f>
        <v>0.16819852941176472</v>
      </c>
      <c r="BY58" s="152">
        <f>BY57/BY53</f>
        <v>0.21809369951534732</v>
      </c>
      <c r="BZ58" s="152">
        <f>BZ57/BZ53</f>
        <v>0.1707509881422925</v>
      </c>
      <c r="CA58" s="57">
        <f>CA57/CA53</f>
        <v>0.17440103604575868</v>
      </c>
      <c r="CB58" s="39"/>
      <c r="CC58" s="151">
        <f t="shared" ref="CC58:CE58" si="2">CC57/CC53</f>
        <v>0.12928082191780821</v>
      </c>
      <c r="CD58" s="152">
        <f t="shared" si="2"/>
        <v>0.11184834123222749</v>
      </c>
      <c r="CE58" s="152">
        <f t="shared" si="2"/>
        <v>0.24553224553224554</v>
      </c>
      <c r="CF58" s="152">
        <f t="shared" ref="CF58" si="3">CF57/CF53</f>
        <v>0.20757363253856942</v>
      </c>
      <c r="CG58" s="57">
        <f t="shared" ref="CG58" si="4">CG57/CG53</f>
        <v>0.17848460291734197</v>
      </c>
    </row>
    <row r="59" spans="1:98" x14ac:dyDescent="0.2">
      <c r="A59" s="30" t="s">
        <v>20</v>
      </c>
      <c r="B59" s="2"/>
      <c r="C59" s="97">
        <v>6</v>
      </c>
      <c r="D59" s="95">
        <v>6.5</v>
      </c>
      <c r="E59" s="95">
        <v>6.4000000000000057</v>
      </c>
      <c r="F59" s="95">
        <v>5.5999999999999943</v>
      </c>
      <c r="G59" s="98">
        <v>24.5</v>
      </c>
      <c r="H59" s="2"/>
      <c r="I59" s="97">
        <v>5</v>
      </c>
      <c r="J59" s="95">
        <v>4</v>
      </c>
      <c r="K59" s="95">
        <v>5</v>
      </c>
      <c r="L59" s="95">
        <v>13</v>
      </c>
      <c r="M59" s="98">
        <v>27</v>
      </c>
      <c r="N59" s="2"/>
      <c r="O59" s="97">
        <v>3.5999999999999943</v>
      </c>
      <c r="P59" s="95">
        <v>4.5999999999999943</v>
      </c>
      <c r="Q59" s="95">
        <v>4</v>
      </c>
      <c r="R59" s="95">
        <v>19</v>
      </c>
      <c r="S59" s="98">
        <v>31.199999999999989</v>
      </c>
      <c r="T59" s="2"/>
      <c r="U59" s="97">
        <v>3</v>
      </c>
      <c r="V59" s="95">
        <v>4</v>
      </c>
      <c r="W59" s="95">
        <v>3</v>
      </c>
      <c r="X59" s="95">
        <v>4</v>
      </c>
      <c r="Y59" s="98">
        <v>14</v>
      </c>
      <c r="Z59" s="106"/>
      <c r="AA59" s="97">
        <v>3</v>
      </c>
      <c r="AB59" s="95">
        <v>3</v>
      </c>
      <c r="AC59" s="95">
        <v>4</v>
      </c>
      <c r="AD59" s="95">
        <v>10</v>
      </c>
      <c r="AE59" s="98">
        <v>20</v>
      </c>
      <c r="AF59" s="2"/>
      <c r="AG59" s="97">
        <v>7</v>
      </c>
      <c r="AH59" s="95">
        <v>6</v>
      </c>
      <c r="AI59" s="95">
        <v>7</v>
      </c>
      <c r="AJ59" s="95">
        <v>10</v>
      </c>
      <c r="AK59" s="98">
        <v>30</v>
      </c>
      <c r="AL59" s="2"/>
      <c r="AM59" s="97">
        <v>8</v>
      </c>
      <c r="AN59" s="95">
        <v>8</v>
      </c>
      <c r="AO59" s="95">
        <v>9</v>
      </c>
      <c r="AP59" s="95">
        <v>7.7</v>
      </c>
      <c r="AQ59" s="98">
        <v>32.700000000000003</v>
      </c>
      <c r="AR59" s="95"/>
      <c r="AS59" s="97">
        <v>9</v>
      </c>
      <c r="AT59" s="95">
        <v>8</v>
      </c>
      <c r="AU59" s="95">
        <v>9</v>
      </c>
      <c r="AV59" s="95">
        <v>7.7999999999999989</v>
      </c>
      <c r="AW59" s="98">
        <v>33.799999999999997</v>
      </c>
      <c r="AX59" s="95"/>
      <c r="AY59" s="97">
        <v>9</v>
      </c>
      <c r="AZ59" s="95">
        <v>9</v>
      </c>
      <c r="BA59" s="95">
        <v>12</v>
      </c>
      <c r="BB59" s="95">
        <v>11</v>
      </c>
      <c r="BC59" s="98">
        <v>41</v>
      </c>
      <c r="BD59" s="95"/>
      <c r="BE59" s="97">
        <v>11</v>
      </c>
      <c r="BF59" s="95">
        <v>11</v>
      </c>
      <c r="BG59" s="95">
        <v>14</v>
      </c>
      <c r="BH59" s="95">
        <v>12</v>
      </c>
      <c r="BI59" s="98">
        <v>48</v>
      </c>
      <c r="BJ59" s="95"/>
      <c r="BK59" s="97">
        <v>12</v>
      </c>
      <c r="BL59" s="95">
        <v>14</v>
      </c>
      <c r="BM59" s="95">
        <v>15</v>
      </c>
      <c r="BN59" s="95">
        <v>16</v>
      </c>
      <c r="BO59" s="98">
        <v>57</v>
      </c>
      <c r="BP59" s="62"/>
      <c r="BQ59" s="97">
        <v>16</v>
      </c>
      <c r="BR59" s="95">
        <v>16</v>
      </c>
      <c r="BS59" s="95">
        <v>17</v>
      </c>
      <c r="BT59" s="95">
        <v>20.400000000000006</v>
      </c>
      <c r="BU59" s="98">
        <v>69.400000000000006</v>
      </c>
      <c r="BV59" s="95"/>
      <c r="BW59" s="97">
        <v>23</v>
      </c>
      <c r="BX59" s="100">
        <v>23</v>
      </c>
      <c r="BY59" s="100">
        <v>23</v>
      </c>
      <c r="BZ59" s="100">
        <f t="shared" ref="BZ59" si="5">CA59-BY59-BX59-BW59</f>
        <v>23</v>
      </c>
      <c r="CA59" s="98">
        <v>92</v>
      </c>
      <c r="CB59" s="2"/>
      <c r="CC59" s="97">
        <v>29</v>
      </c>
      <c r="CD59" s="100">
        <v>35</v>
      </c>
      <c r="CE59" s="100">
        <v>30</v>
      </c>
      <c r="CF59" s="100">
        <f>CG59-CE59-CD59-CC59</f>
        <v>29</v>
      </c>
      <c r="CG59" s="107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x14ac:dyDescent="0.2">
      <c r="A60" s="30" t="s">
        <v>111</v>
      </c>
      <c r="B60" s="2"/>
      <c r="C60" s="108">
        <v>34</v>
      </c>
      <c r="D60" s="54">
        <v>64</v>
      </c>
      <c r="E60" s="54">
        <v>100</v>
      </c>
      <c r="F60" s="54">
        <v>90</v>
      </c>
      <c r="G60" s="109">
        <v>288</v>
      </c>
      <c r="H60" s="2"/>
      <c r="I60" s="108">
        <v>43</v>
      </c>
      <c r="J60" s="54">
        <v>76</v>
      </c>
      <c r="K60" s="54">
        <v>66</v>
      </c>
      <c r="L60" s="54">
        <v>107</v>
      </c>
      <c r="M60" s="109">
        <v>292</v>
      </c>
      <c r="N60" s="2"/>
      <c r="O60" s="108">
        <v>86</v>
      </c>
      <c r="P60" s="54">
        <v>104.00000000000003</v>
      </c>
      <c r="Q60" s="54">
        <v>146</v>
      </c>
      <c r="R60" s="54">
        <v>89</v>
      </c>
      <c r="S60" s="109">
        <v>425.00000000000006</v>
      </c>
      <c r="T60" s="2"/>
      <c r="U60" s="108">
        <v>72</v>
      </c>
      <c r="V60" s="54">
        <v>90</v>
      </c>
      <c r="W60" s="54">
        <v>120</v>
      </c>
      <c r="X60" s="54">
        <v>92</v>
      </c>
      <c r="Y60" s="109">
        <v>374</v>
      </c>
      <c r="Z60" s="106"/>
      <c r="AA60" s="108">
        <v>94</v>
      </c>
      <c r="AB60" s="54">
        <v>128</v>
      </c>
      <c r="AC60" s="54">
        <v>148</v>
      </c>
      <c r="AD60" s="54">
        <v>119</v>
      </c>
      <c r="AE60" s="109">
        <v>489</v>
      </c>
      <c r="AF60" s="2"/>
      <c r="AG60" s="108">
        <v>99</v>
      </c>
      <c r="AH60" s="54">
        <v>127</v>
      </c>
      <c r="AI60" s="54">
        <v>121</v>
      </c>
      <c r="AJ60" s="54">
        <v>137</v>
      </c>
      <c r="AK60" s="109">
        <v>484</v>
      </c>
      <c r="AL60" s="2"/>
      <c r="AM60" s="108">
        <v>86</v>
      </c>
      <c r="AN60" s="54">
        <v>118</v>
      </c>
      <c r="AO60" s="54">
        <v>151</v>
      </c>
      <c r="AP60" s="54">
        <v>138.30000000000001</v>
      </c>
      <c r="AQ60" s="109">
        <v>493.3</v>
      </c>
      <c r="AR60" s="95"/>
      <c r="AS60" s="108">
        <v>102</v>
      </c>
      <c r="AT60" s="54">
        <v>123.19999999999999</v>
      </c>
      <c r="AU60" s="54">
        <v>138</v>
      </c>
      <c r="AV60" s="54">
        <v>164.2</v>
      </c>
      <c r="AW60" s="109">
        <v>527.40000000000009</v>
      </c>
      <c r="AX60" s="95"/>
      <c r="AY60" s="108">
        <v>99</v>
      </c>
      <c r="AZ60" s="54">
        <v>155</v>
      </c>
      <c r="BA60" s="54">
        <v>235</v>
      </c>
      <c r="BB60" s="54">
        <v>231</v>
      </c>
      <c r="BC60" s="109">
        <v>720</v>
      </c>
      <c r="BD60" s="95"/>
      <c r="BE60" s="108">
        <v>136</v>
      </c>
      <c r="BF60" s="54">
        <v>226</v>
      </c>
      <c r="BG60" s="54">
        <v>247</v>
      </c>
      <c r="BH60" s="54">
        <v>186</v>
      </c>
      <c r="BI60" s="109">
        <v>795</v>
      </c>
      <c r="BJ60" s="95"/>
      <c r="BK60" s="108">
        <v>132</v>
      </c>
      <c r="BL60" s="54">
        <v>177</v>
      </c>
      <c r="BM60" s="54">
        <v>221</v>
      </c>
      <c r="BN60" s="54">
        <v>119</v>
      </c>
      <c r="BO60" s="109">
        <v>649</v>
      </c>
      <c r="BP60" s="62"/>
      <c r="BQ60" s="108">
        <v>105</v>
      </c>
      <c r="BR60" s="54">
        <v>166</v>
      </c>
      <c r="BS60" s="54">
        <v>227</v>
      </c>
      <c r="BT60" s="54">
        <v>158.6</v>
      </c>
      <c r="BU60" s="109">
        <v>656.6</v>
      </c>
      <c r="BV60" s="95"/>
      <c r="BW60" s="108">
        <f>BW57-BW59</f>
        <v>116</v>
      </c>
      <c r="BX60" s="110">
        <f>BX57-BX59</f>
        <v>160</v>
      </c>
      <c r="BY60" s="110">
        <f>BY57-BY59</f>
        <v>247</v>
      </c>
      <c r="BZ60" s="110">
        <f>BZ57-BZ59</f>
        <v>193</v>
      </c>
      <c r="CA60" s="109">
        <f>CA57-CA59</f>
        <v>716</v>
      </c>
      <c r="CB60" s="2"/>
      <c r="CC60" s="108">
        <f>CC57-CC59</f>
        <v>122</v>
      </c>
      <c r="CD60" s="110">
        <f>CD57-CD59</f>
        <v>83</v>
      </c>
      <c r="CE60" s="110">
        <f>CE57-CE59</f>
        <v>286</v>
      </c>
      <c r="CF60" s="110">
        <f>CF57-CF59</f>
        <v>267</v>
      </c>
      <c r="CG60" s="109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s="38" customFormat="1" x14ac:dyDescent="0.2">
      <c r="A61" s="32" t="s">
        <v>37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8" ht="5.25" customHeight="1" x14ac:dyDescent="0.2">
      <c r="A62" s="30"/>
      <c r="B62" s="111"/>
      <c r="C62" s="112"/>
      <c r="D62" s="111"/>
      <c r="E62" s="111"/>
      <c r="F62" s="111"/>
      <c r="G62" s="113"/>
      <c r="H62" s="2"/>
      <c r="I62" s="112"/>
      <c r="J62" s="111"/>
      <c r="K62" s="111"/>
      <c r="L62" s="111"/>
      <c r="M62" s="113"/>
      <c r="N62" s="2"/>
      <c r="O62" s="112"/>
      <c r="P62" s="111"/>
      <c r="Q62" s="111"/>
      <c r="R62" s="111"/>
      <c r="S62" s="113"/>
      <c r="T62" s="2"/>
      <c r="U62" s="112"/>
      <c r="V62" s="111"/>
      <c r="W62" s="111"/>
      <c r="X62" s="111"/>
      <c r="Y62" s="113"/>
      <c r="Z62" s="2"/>
      <c r="AA62" s="112"/>
      <c r="AB62" s="111"/>
      <c r="AC62" s="111"/>
      <c r="AD62" s="111"/>
      <c r="AE62" s="113"/>
      <c r="AF62" s="2"/>
      <c r="AG62" s="112"/>
      <c r="AH62" s="111"/>
      <c r="AI62" s="111"/>
      <c r="AJ62" s="111"/>
      <c r="AK62" s="113"/>
      <c r="AL62" s="2"/>
      <c r="AM62" s="112"/>
      <c r="AN62" s="111"/>
      <c r="AO62" s="111"/>
      <c r="AP62" s="111"/>
      <c r="AQ62" s="113"/>
      <c r="AR62" s="2"/>
      <c r="AS62" s="112"/>
      <c r="AT62" s="111"/>
      <c r="AU62" s="111"/>
      <c r="AV62" s="111"/>
      <c r="AW62" s="113"/>
      <c r="AX62" s="2"/>
      <c r="AY62" s="112"/>
      <c r="AZ62" s="111"/>
      <c r="BA62" s="111"/>
      <c r="BB62" s="111"/>
      <c r="BC62" s="113"/>
      <c r="BD62" s="2"/>
      <c r="BE62" s="112"/>
      <c r="BF62" s="111"/>
      <c r="BG62" s="111"/>
      <c r="BH62" s="111"/>
      <c r="BI62" s="113"/>
      <c r="BJ62" s="2"/>
      <c r="BK62" s="112"/>
      <c r="BL62" s="111"/>
      <c r="BM62" s="111"/>
      <c r="BN62" s="111"/>
      <c r="BO62" s="98"/>
      <c r="BP62" s="62"/>
      <c r="BQ62" s="112"/>
      <c r="BR62" s="111"/>
      <c r="BS62" s="111"/>
      <c r="BT62" s="111"/>
      <c r="BU62" s="98"/>
      <c r="BV62" s="2"/>
      <c r="BW62" s="112"/>
      <c r="BX62" s="114"/>
      <c r="BY62" s="114"/>
      <c r="BZ62" s="114"/>
      <c r="CA62" s="98"/>
      <c r="CB62" s="2"/>
      <c r="CC62" s="112"/>
      <c r="CD62" s="114"/>
      <c r="CE62" s="114"/>
      <c r="CF62" s="114"/>
      <c r="CG62" s="11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x14ac:dyDescent="0.2">
      <c r="A63" s="31" t="s">
        <v>112</v>
      </c>
      <c r="B63" s="111"/>
      <c r="C63" s="112"/>
      <c r="D63" s="111"/>
      <c r="E63" s="111"/>
      <c r="F63" s="111"/>
      <c r="G63" s="113"/>
      <c r="H63" s="2"/>
      <c r="I63" s="112"/>
      <c r="J63" s="111"/>
      <c r="K63" s="111"/>
      <c r="L63" s="111"/>
      <c r="M63" s="113"/>
      <c r="N63" s="2"/>
      <c r="O63" s="112"/>
      <c r="P63" s="111"/>
      <c r="Q63" s="111"/>
      <c r="R63" s="111"/>
      <c r="S63" s="113"/>
      <c r="T63" s="2"/>
      <c r="U63" s="112"/>
      <c r="V63" s="111"/>
      <c r="W63" s="111"/>
      <c r="X63" s="111"/>
      <c r="Y63" s="113"/>
      <c r="Z63" s="2"/>
      <c r="AA63" s="112"/>
      <c r="AB63" s="111"/>
      <c r="AC63" s="111"/>
      <c r="AD63" s="111"/>
      <c r="AE63" s="113"/>
      <c r="AF63" s="2"/>
      <c r="AG63" s="112"/>
      <c r="AH63" s="111"/>
      <c r="AI63" s="111"/>
      <c r="AJ63" s="111"/>
      <c r="AK63" s="113"/>
      <c r="AL63" s="2"/>
      <c r="AM63" s="112"/>
      <c r="AN63" s="111"/>
      <c r="AO63" s="111"/>
      <c r="AP63" s="111"/>
      <c r="AQ63" s="113"/>
      <c r="AR63" s="2"/>
      <c r="AS63" s="112"/>
      <c r="AT63" s="111"/>
      <c r="AU63" s="111"/>
      <c r="AV63" s="111"/>
      <c r="AW63" s="113"/>
      <c r="AX63" s="2"/>
      <c r="AY63" s="112"/>
      <c r="AZ63" s="111"/>
      <c r="BA63" s="111"/>
      <c r="BB63" s="111"/>
      <c r="BC63" s="113"/>
      <c r="BD63" s="2"/>
      <c r="BE63" s="112"/>
      <c r="BF63" s="111"/>
      <c r="BG63" s="111"/>
      <c r="BH63" s="111"/>
      <c r="BI63" s="113"/>
      <c r="BJ63" s="2"/>
      <c r="BK63" s="112"/>
      <c r="BL63" s="111"/>
      <c r="BM63" s="111"/>
      <c r="BN63" s="111"/>
      <c r="BO63" s="98"/>
      <c r="BP63" s="62"/>
      <c r="BQ63" s="112"/>
      <c r="BR63" s="111"/>
      <c r="BS63" s="111"/>
      <c r="BT63" s="111"/>
      <c r="BU63" s="98"/>
      <c r="BV63" s="2"/>
      <c r="BW63" s="112"/>
      <c r="BX63" s="114"/>
      <c r="BY63" s="114"/>
      <c r="BZ63" s="114"/>
      <c r="CA63" s="98"/>
      <c r="CB63" s="2"/>
      <c r="CC63" s="112"/>
      <c r="CD63" s="114"/>
      <c r="CE63" s="114"/>
      <c r="CF63" s="114"/>
      <c r="CG63" s="11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x14ac:dyDescent="0.2">
      <c r="A64" s="30" t="s">
        <v>39</v>
      </c>
      <c r="B64" s="111"/>
      <c r="C64" s="97">
        <v>80</v>
      </c>
      <c r="D64" s="95">
        <v>68</v>
      </c>
      <c r="E64" s="95">
        <v>52</v>
      </c>
      <c r="F64" s="95">
        <v>75</v>
      </c>
      <c r="G64" s="98">
        <v>275</v>
      </c>
      <c r="H64" s="2"/>
      <c r="I64" s="97">
        <v>79</v>
      </c>
      <c r="J64" s="95">
        <v>88</v>
      </c>
      <c r="K64" s="95">
        <v>95</v>
      </c>
      <c r="L64" s="95">
        <v>104</v>
      </c>
      <c r="M64" s="98">
        <v>366</v>
      </c>
      <c r="N64" s="115"/>
      <c r="O64" s="97">
        <v>36</v>
      </c>
      <c r="P64" s="95">
        <v>55</v>
      </c>
      <c r="Q64" s="95">
        <v>71</v>
      </c>
      <c r="R64" s="95">
        <v>89</v>
      </c>
      <c r="S64" s="98">
        <v>251</v>
      </c>
      <c r="T64" s="2"/>
      <c r="U64" s="97">
        <v>55</v>
      </c>
      <c r="V64" s="95">
        <v>61</v>
      </c>
      <c r="W64" s="95">
        <v>76</v>
      </c>
      <c r="X64" s="95">
        <v>76</v>
      </c>
      <c r="Y64" s="98">
        <v>268</v>
      </c>
      <c r="Z64" s="2"/>
      <c r="AA64" s="97">
        <v>88</v>
      </c>
      <c r="AB64" s="95">
        <v>102</v>
      </c>
      <c r="AC64" s="95">
        <v>134</v>
      </c>
      <c r="AD64" s="95">
        <v>145</v>
      </c>
      <c r="AE64" s="98">
        <v>469</v>
      </c>
      <c r="AF64" s="2"/>
      <c r="AG64" s="97">
        <v>105</v>
      </c>
      <c r="AH64" s="95">
        <v>128</v>
      </c>
      <c r="AI64" s="95">
        <v>153</v>
      </c>
      <c r="AJ64" s="95">
        <v>167</v>
      </c>
      <c r="AK64" s="98">
        <v>553</v>
      </c>
      <c r="AL64" s="2"/>
      <c r="AM64" s="97">
        <v>138</v>
      </c>
      <c r="AN64" s="95">
        <v>208</v>
      </c>
      <c r="AO64" s="95">
        <v>176</v>
      </c>
      <c r="AP64" s="95">
        <v>200</v>
      </c>
      <c r="AQ64" s="98">
        <v>722</v>
      </c>
      <c r="AR64" s="2"/>
      <c r="AS64" s="97">
        <v>163</v>
      </c>
      <c r="AT64" s="95">
        <v>212</v>
      </c>
      <c r="AU64" s="95">
        <v>195</v>
      </c>
      <c r="AV64" s="95">
        <v>317</v>
      </c>
      <c r="AW64" s="98">
        <v>887</v>
      </c>
      <c r="AX64" s="2"/>
      <c r="AY64" s="97">
        <v>208</v>
      </c>
      <c r="AZ64" s="95">
        <v>280</v>
      </c>
      <c r="BA64" s="95">
        <v>296</v>
      </c>
      <c r="BB64" s="95">
        <v>305</v>
      </c>
      <c r="BC64" s="98">
        <v>1089</v>
      </c>
      <c r="BD64" s="2"/>
      <c r="BE64" s="97">
        <v>205</v>
      </c>
      <c r="BF64" s="95">
        <v>303</v>
      </c>
      <c r="BG64" s="95">
        <v>302</v>
      </c>
      <c r="BH64" s="95">
        <v>290</v>
      </c>
      <c r="BI64" s="98">
        <v>1100</v>
      </c>
      <c r="BJ64" s="2"/>
      <c r="BK64" s="97">
        <v>207</v>
      </c>
      <c r="BL64" s="95">
        <v>329</v>
      </c>
      <c r="BM64" s="95">
        <v>344</v>
      </c>
      <c r="BN64" s="95">
        <v>302</v>
      </c>
      <c r="BO64" s="98">
        <v>1182</v>
      </c>
      <c r="BP64" s="62"/>
      <c r="BQ64" s="97">
        <v>256</v>
      </c>
      <c r="BR64" s="95">
        <v>428</v>
      </c>
      <c r="BS64" s="95">
        <v>423</v>
      </c>
      <c r="BT64" s="95">
        <v>401</v>
      </c>
      <c r="BU64" s="98">
        <v>1508</v>
      </c>
      <c r="BV64" s="99"/>
      <c r="BW64" s="97">
        <v>403</v>
      </c>
      <c r="BX64" s="100">
        <v>482</v>
      </c>
      <c r="BY64" s="100">
        <v>459</v>
      </c>
      <c r="BZ64" s="100">
        <f t="shared" ref="BZ64:BZ69" si="6">CA64-BY64-BX64-BW64</f>
        <v>423</v>
      </c>
      <c r="CA64" s="98">
        <v>1767</v>
      </c>
      <c r="CB64" s="59"/>
      <c r="CC64" s="97">
        <v>473</v>
      </c>
      <c r="CD64" s="100">
        <v>498</v>
      </c>
      <c r="CE64" s="100">
        <v>504</v>
      </c>
      <c r="CF64" s="100">
        <f t="shared" ref="CF64:CF69" si="7">CG64-CE64-CD64-CC64</f>
        <v>441</v>
      </c>
      <c r="CG64" s="98">
        <v>1916</v>
      </c>
      <c r="CH64" s="2"/>
      <c r="CI64" s="59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 x14ac:dyDescent="0.2">
      <c r="A65" s="30" t="s">
        <v>34</v>
      </c>
      <c r="B65" s="111"/>
      <c r="C65" s="97">
        <v>4</v>
      </c>
      <c r="D65" s="95">
        <v>12</v>
      </c>
      <c r="E65" s="95">
        <v>5</v>
      </c>
      <c r="F65" s="95">
        <v>13</v>
      </c>
      <c r="G65" s="98">
        <v>34</v>
      </c>
      <c r="H65" s="2"/>
      <c r="I65" s="97">
        <v>7</v>
      </c>
      <c r="J65" s="95">
        <v>19</v>
      </c>
      <c r="K65" s="95">
        <v>15</v>
      </c>
      <c r="L65" s="95">
        <v>23</v>
      </c>
      <c r="M65" s="98">
        <v>64</v>
      </c>
      <c r="N65" s="115"/>
      <c r="O65" s="97">
        <v>12</v>
      </c>
      <c r="P65" s="95">
        <v>10</v>
      </c>
      <c r="Q65" s="95">
        <v>11</v>
      </c>
      <c r="R65" s="95">
        <v>25</v>
      </c>
      <c r="S65" s="98">
        <v>58</v>
      </c>
      <c r="T65" s="2"/>
      <c r="U65" s="97">
        <v>20</v>
      </c>
      <c r="V65" s="95">
        <v>38</v>
      </c>
      <c r="W65" s="95">
        <v>48</v>
      </c>
      <c r="X65" s="95">
        <v>19</v>
      </c>
      <c r="Y65" s="98">
        <v>125</v>
      </c>
      <c r="Z65" s="2"/>
      <c r="AA65" s="97">
        <v>53</v>
      </c>
      <c r="AB65" s="95">
        <v>118</v>
      </c>
      <c r="AC65" s="95">
        <v>82</v>
      </c>
      <c r="AD65" s="95">
        <v>31</v>
      </c>
      <c r="AE65" s="98">
        <v>284</v>
      </c>
      <c r="AF65" s="2"/>
      <c r="AG65" s="97">
        <v>87</v>
      </c>
      <c r="AH65" s="95">
        <v>105</v>
      </c>
      <c r="AI65" s="95">
        <v>137</v>
      </c>
      <c r="AJ65" s="95">
        <v>164</v>
      </c>
      <c r="AK65" s="98">
        <v>493</v>
      </c>
      <c r="AL65" s="2"/>
      <c r="AM65" s="97">
        <v>137</v>
      </c>
      <c r="AN65" s="95">
        <v>168</v>
      </c>
      <c r="AO65" s="95">
        <v>150</v>
      </c>
      <c r="AP65" s="95">
        <v>122</v>
      </c>
      <c r="AQ65" s="98">
        <v>577</v>
      </c>
      <c r="AR65" s="2"/>
      <c r="AS65" s="97">
        <v>146</v>
      </c>
      <c r="AT65" s="95">
        <v>163</v>
      </c>
      <c r="AU65" s="95">
        <v>161</v>
      </c>
      <c r="AV65" s="95">
        <v>106</v>
      </c>
      <c r="AW65" s="98">
        <v>576</v>
      </c>
      <c r="AX65" s="2"/>
      <c r="AY65" s="97">
        <v>111</v>
      </c>
      <c r="AZ65" s="95">
        <v>219</v>
      </c>
      <c r="BA65" s="95">
        <v>176</v>
      </c>
      <c r="BB65" s="95">
        <v>179</v>
      </c>
      <c r="BC65" s="98">
        <v>685</v>
      </c>
      <c r="BD65" s="2"/>
      <c r="BE65" s="97">
        <v>157</v>
      </c>
      <c r="BF65" s="95">
        <v>247</v>
      </c>
      <c r="BG65" s="95">
        <v>207</v>
      </c>
      <c r="BH65" s="95">
        <v>194</v>
      </c>
      <c r="BI65" s="98">
        <v>805</v>
      </c>
      <c r="BJ65" s="2"/>
      <c r="BK65" s="97">
        <v>252</v>
      </c>
      <c r="BL65" s="95">
        <v>434</v>
      </c>
      <c r="BM65" s="95">
        <v>242</v>
      </c>
      <c r="BN65" s="95">
        <v>354</v>
      </c>
      <c r="BO65" s="98">
        <v>1282</v>
      </c>
      <c r="BP65" s="62"/>
      <c r="BQ65" s="97">
        <v>282</v>
      </c>
      <c r="BR65" s="95">
        <v>406</v>
      </c>
      <c r="BS65" s="95">
        <v>336</v>
      </c>
      <c r="BT65" s="95">
        <v>442</v>
      </c>
      <c r="BU65" s="98">
        <v>1466</v>
      </c>
      <c r="BV65" s="99"/>
      <c r="BW65" s="97">
        <v>326</v>
      </c>
      <c r="BX65" s="100">
        <v>370</v>
      </c>
      <c r="BY65" s="100">
        <v>345</v>
      </c>
      <c r="BZ65" s="100">
        <f t="shared" si="6"/>
        <v>330</v>
      </c>
      <c r="CA65" s="98">
        <v>1371</v>
      </c>
      <c r="CB65" s="59"/>
      <c r="CC65" s="97">
        <v>335</v>
      </c>
      <c r="CD65" s="100">
        <v>423</v>
      </c>
      <c r="CE65" s="100">
        <v>319</v>
      </c>
      <c r="CF65" s="100">
        <f t="shared" si="7"/>
        <v>323</v>
      </c>
      <c r="CG65" s="98">
        <v>1400</v>
      </c>
      <c r="CH65" s="2"/>
      <c r="CI65" s="59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 x14ac:dyDescent="0.2">
      <c r="A66" s="30" t="s">
        <v>40</v>
      </c>
      <c r="B66" s="111"/>
      <c r="C66" s="97">
        <v>2</v>
      </c>
      <c r="D66" s="95">
        <v>1</v>
      </c>
      <c r="E66" s="95">
        <v>1</v>
      </c>
      <c r="F66" s="95">
        <v>1</v>
      </c>
      <c r="G66" s="98">
        <v>5</v>
      </c>
      <c r="H66" s="2"/>
      <c r="I66" s="97">
        <v>1</v>
      </c>
      <c r="J66" s="95"/>
      <c r="K66" s="95"/>
      <c r="L66" s="95">
        <v>3</v>
      </c>
      <c r="M66" s="98">
        <v>4</v>
      </c>
      <c r="N66" s="115"/>
      <c r="O66" s="97">
        <v>1</v>
      </c>
      <c r="P66" s="95"/>
      <c r="Q66" s="95">
        <v>1</v>
      </c>
      <c r="R66" s="95"/>
      <c r="S66" s="98">
        <v>2</v>
      </c>
      <c r="T66" s="2"/>
      <c r="U66" s="97">
        <v>1</v>
      </c>
      <c r="V66" s="95">
        <v>2</v>
      </c>
      <c r="W66" s="95">
        <v>1</v>
      </c>
      <c r="X66" s="95">
        <v>2</v>
      </c>
      <c r="Y66" s="98">
        <v>6</v>
      </c>
      <c r="Z66" s="2"/>
      <c r="AA66" s="97">
        <v>2</v>
      </c>
      <c r="AB66" s="95">
        <v>1</v>
      </c>
      <c r="AC66" s="95">
        <v>2</v>
      </c>
      <c r="AD66" s="95">
        <v>2</v>
      </c>
      <c r="AE66" s="98">
        <v>7</v>
      </c>
      <c r="AF66" s="2"/>
      <c r="AG66" s="97">
        <v>10</v>
      </c>
      <c r="AH66" s="95">
        <v>8</v>
      </c>
      <c r="AI66" s="95">
        <v>40</v>
      </c>
      <c r="AJ66" s="95">
        <v>38</v>
      </c>
      <c r="AK66" s="98">
        <v>96</v>
      </c>
      <c r="AL66" s="2"/>
      <c r="AM66" s="97">
        <v>7</v>
      </c>
      <c r="AN66" s="95">
        <v>18</v>
      </c>
      <c r="AO66" s="95">
        <v>35</v>
      </c>
      <c r="AP66" s="95">
        <v>23</v>
      </c>
      <c r="AQ66" s="98">
        <v>83</v>
      </c>
      <c r="AR66" s="2"/>
      <c r="AS66" s="97">
        <v>6</v>
      </c>
      <c r="AT66" s="95">
        <v>3</v>
      </c>
      <c r="AU66" s="95">
        <v>49</v>
      </c>
      <c r="AV66" s="95">
        <v>17</v>
      </c>
      <c r="AW66" s="98">
        <v>75</v>
      </c>
      <c r="AX66" s="2"/>
      <c r="AY66" s="97">
        <v>13</v>
      </c>
      <c r="AZ66" s="95">
        <v>9</v>
      </c>
      <c r="BA66" s="95">
        <v>35</v>
      </c>
      <c r="BB66" s="95">
        <v>35</v>
      </c>
      <c r="BC66" s="98">
        <v>92</v>
      </c>
      <c r="BD66" s="2"/>
      <c r="BE66" s="97">
        <v>4</v>
      </c>
      <c r="BF66" s="95">
        <v>13</v>
      </c>
      <c r="BG66" s="95">
        <v>16</v>
      </c>
      <c r="BH66" s="95">
        <v>47</v>
      </c>
      <c r="BI66" s="98">
        <v>80</v>
      </c>
      <c r="BJ66" s="2"/>
      <c r="BK66" s="97">
        <v>25</v>
      </c>
      <c r="BL66" s="95">
        <v>33</v>
      </c>
      <c r="BM66" s="95">
        <v>31</v>
      </c>
      <c r="BN66" s="95">
        <v>51</v>
      </c>
      <c r="BO66" s="98">
        <v>140</v>
      </c>
      <c r="BP66" s="62"/>
      <c r="BQ66" s="97">
        <v>29</v>
      </c>
      <c r="BR66" s="95">
        <v>39</v>
      </c>
      <c r="BS66" s="95">
        <v>74</v>
      </c>
      <c r="BT66" s="95">
        <v>111</v>
      </c>
      <c r="BU66" s="98">
        <v>253</v>
      </c>
      <c r="BV66" s="99"/>
      <c r="BW66" s="97">
        <v>33</v>
      </c>
      <c r="BX66" s="100">
        <v>58</v>
      </c>
      <c r="BY66" s="100">
        <v>53</v>
      </c>
      <c r="BZ66" s="100">
        <f t="shared" si="6"/>
        <v>136</v>
      </c>
      <c r="CA66" s="98">
        <v>280</v>
      </c>
      <c r="CB66" s="59"/>
      <c r="CC66" s="97">
        <v>23</v>
      </c>
      <c r="CD66" s="100">
        <v>29</v>
      </c>
      <c r="CE66" s="100">
        <v>122</v>
      </c>
      <c r="CF66" s="100">
        <f t="shared" si="7"/>
        <v>143</v>
      </c>
      <c r="CG66" s="98">
        <v>317</v>
      </c>
      <c r="CH66" s="2"/>
      <c r="CI66" s="59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 x14ac:dyDescent="0.2">
      <c r="A67" s="30" t="s">
        <v>41</v>
      </c>
      <c r="B67" s="111"/>
      <c r="C67" s="97">
        <v>11</v>
      </c>
      <c r="D67" s="95">
        <v>13</v>
      </c>
      <c r="E67" s="95">
        <v>14</v>
      </c>
      <c r="F67" s="95">
        <v>22</v>
      </c>
      <c r="G67" s="98">
        <v>60</v>
      </c>
      <c r="H67" s="2"/>
      <c r="I67" s="97">
        <v>25</v>
      </c>
      <c r="J67" s="95">
        <v>13</v>
      </c>
      <c r="K67" s="95">
        <v>6</v>
      </c>
      <c r="L67" s="95">
        <v>10</v>
      </c>
      <c r="M67" s="98">
        <v>54</v>
      </c>
      <c r="N67" s="115"/>
      <c r="O67" s="97">
        <v>5</v>
      </c>
      <c r="P67" s="95">
        <v>7</v>
      </c>
      <c r="Q67" s="95"/>
      <c r="R67" s="95">
        <v>16</v>
      </c>
      <c r="S67" s="98">
        <v>28</v>
      </c>
      <c r="T67" s="2"/>
      <c r="U67" s="97">
        <v>2</v>
      </c>
      <c r="V67" s="95">
        <v>21</v>
      </c>
      <c r="W67" s="95">
        <v>17</v>
      </c>
      <c r="X67" s="95">
        <v>29</v>
      </c>
      <c r="Y67" s="98">
        <v>69</v>
      </c>
      <c r="Z67" s="2"/>
      <c r="AA67" s="97">
        <v>8</v>
      </c>
      <c r="AB67" s="95">
        <v>16</v>
      </c>
      <c r="AC67" s="95">
        <v>16</v>
      </c>
      <c r="AD67" s="95">
        <v>30</v>
      </c>
      <c r="AE67" s="98">
        <v>70</v>
      </c>
      <c r="AF67" s="2"/>
      <c r="AG67" s="97">
        <v>12</v>
      </c>
      <c r="AH67" s="95">
        <v>16</v>
      </c>
      <c r="AI67" s="95">
        <v>56</v>
      </c>
      <c r="AJ67" s="95">
        <v>66</v>
      </c>
      <c r="AK67" s="98">
        <v>150</v>
      </c>
      <c r="AL67" s="2"/>
      <c r="AM67" s="97">
        <v>49</v>
      </c>
      <c r="AN67" s="95">
        <v>38</v>
      </c>
      <c r="AO67" s="95">
        <v>65</v>
      </c>
      <c r="AP67" s="95">
        <v>85</v>
      </c>
      <c r="AQ67" s="98">
        <v>237</v>
      </c>
      <c r="AR67" s="2"/>
      <c r="AS67" s="97">
        <v>59</v>
      </c>
      <c r="AT67" s="95">
        <v>48</v>
      </c>
      <c r="AU67" s="95">
        <v>46</v>
      </c>
      <c r="AV67" s="95">
        <v>85</v>
      </c>
      <c r="AW67" s="98">
        <v>238</v>
      </c>
      <c r="AX67" s="2"/>
      <c r="AY67" s="97">
        <v>59</v>
      </c>
      <c r="AZ67" s="95">
        <v>81</v>
      </c>
      <c r="BA67" s="95">
        <v>94</v>
      </c>
      <c r="BB67" s="95">
        <v>132</v>
      </c>
      <c r="BC67" s="98">
        <v>366</v>
      </c>
      <c r="BD67" s="2"/>
      <c r="BE67" s="97">
        <v>90</v>
      </c>
      <c r="BF67" s="95">
        <v>67</v>
      </c>
      <c r="BG67" s="95">
        <v>89</v>
      </c>
      <c r="BH67" s="95">
        <v>122</v>
      </c>
      <c r="BI67" s="98">
        <v>368</v>
      </c>
      <c r="BJ67" s="2"/>
      <c r="BK67" s="97">
        <v>108</v>
      </c>
      <c r="BL67" s="95">
        <v>92</v>
      </c>
      <c r="BM67" s="95">
        <v>91</v>
      </c>
      <c r="BN67" s="95">
        <v>128</v>
      </c>
      <c r="BO67" s="98">
        <v>419</v>
      </c>
      <c r="BP67" s="62"/>
      <c r="BQ67" s="97">
        <v>115</v>
      </c>
      <c r="BR67" s="95">
        <v>88</v>
      </c>
      <c r="BS67" s="95">
        <v>136</v>
      </c>
      <c r="BT67" s="95">
        <v>152</v>
      </c>
      <c r="BU67" s="98">
        <v>491</v>
      </c>
      <c r="BV67" s="99"/>
      <c r="BW67" s="97">
        <v>149</v>
      </c>
      <c r="BX67" s="100">
        <v>144</v>
      </c>
      <c r="BY67" s="100">
        <v>118</v>
      </c>
      <c r="BZ67" s="100">
        <f t="shared" si="6"/>
        <v>185</v>
      </c>
      <c r="CA67" s="98">
        <v>596</v>
      </c>
      <c r="CB67" s="59"/>
      <c r="CC67" s="97">
        <v>152</v>
      </c>
      <c r="CD67" s="100">
        <v>127</v>
      </c>
      <c r="CE67" s="100">
        <v>160</v>
      </c>
      <c r="CF67" s="100">
        <f t="shared" si="7"/>
        <v>141</v>
      </c>
      <c r="CG67" s="98">
        <v>580</v>
      </c>
      <c r="CH67" s="2"/>
      <c r="CI67" s="59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 x14ac:dyDescent="0.2">
      <c r="A68" s="30" t="s">
        <v>42</v>
      </c>
      <c r="B68" s="111"/>
      <c r="C68" s="97">
        <v>1</v>
      </c>
      <c r="D68" s="95">
        <v>1</v>
      </c>
      <c r="E68" s="95">
        <v>1</v>
      </c>
      <c r="F68" s="95">
        <v>1</v>
      </c>
      <c r="G68" s="98">
        <v>4</v>
      </c>
      <c r="H68" s="2"/>
      <c r="I68" s="97">
        <v>1</v>
      </c>
      <c r="J68" s="95">
        <v>1</v>
      </c>
      <c r="K68" s="95"/>
      <c r="L68" s="95"/>
      <c r="M68" s="98">
        <v>2</v>
      </c>
      <c r="N68" s="115"/>
      <c r="O68" s="97">
        <v>2</v>
      </c>
      <c r="P68" s="95">
        <v>4</v>
      </c>
      <c r="Q68" s="95">
        <v>4</v>
      </c>
      <c r="R68" s="95">
        <v>4</v>
      </c>
      <c r="S68" s="98">
        <v>14</v>
      </c>
      <c r="T68" s="2"/>
      <c r="U68" s="97">
        <v>3</v>
      </c>
      <c r="V68" s="95">
        <v>16</v>
      </c>
      <c r="W68" s="95">
        <v>15</v>
      </c>
      <c r="X68" s="95">
        <v>12</v>
      </c>
      <c r="Y68" s="98">
        <v>46</v>
      </c>
      <c r="Z68" s="2"/>
      <c r="AA68" s="97">
        <v>15</v>
      </c>
      <c r="AB68" s="95">
        <v>18</v>
      </c>
      <c r="AC68" s="95">
        <v>18</v>
      </c>
      <c r="AD68" s="95">
        <v>17</v>
      </c>
      <c r="AE68" s="98">
        <v>68</v>
      </c>
      <c r="AF68" s="2"/>
      <c r="AG68" s="97">
        <v>10</v>
      </c>
      <c r="AH68" s="95">
        <v>13</v>
      </c>
      <c r="AI68" s="95">
        <v>36</v>
      </c>
      <c r="AJ68" s="95">
        <v>40</v>
      </c>
      <c r="AK68" s="98">
        <v>99</v>
      </c>
      <c r="AL68" s="2"/>
      <c r="AM68" s="97">
        <v>22</v>
      </c>
      <c r="AN68" s="95">
        <v>31</v>
      </c>
      <c r="AO68" s="95">
        <v>28</v>
      </c>
      <c r="AP68" s="95">
        <v>22</v>
      </c>
      <c r="AQ68" s="98">
        <v>103</v>
      </c>
      <c r="AR68" s="2"/>
      <c r="AS68" s="97">
        <v>5</v>
      </c>
      <c r="AT68" s="95">
        <v>21</v>
      </c>
      <c r="AU68" s="95">
        <v>23</v>
      </c>
      <c r="AV68" s="95">
        <v>38</v>
      </c>
      <c r="AW68" s="98">
        <v>87</v>
      </c>
      <c r="AX68" s="2"/>
      <c r="AY68" s="97">
        <v>11</v>
      </c>
      <c r="AZ68" s="95">
        <v>17</v>
      </c>
      <c r="BA68" s="95">
        <v>11</v>
      </c>
      <c r="BB68" s="95">
        <v>13</v>
      </c>
      <c r="BC68" s="98">
        <v>52</v>
      </c>
      <c r="BD68" s="2"/>
      <c r="BE68" s="97">
        <v>21</v>
      </c>
      <c r="BF68" s="95">
        <v>34</v>
      </c>
      <c r="BG68" s="95">
        <v>12</v>
      </c>
      <c r="BH68" s="95">
        <v>48</v>
      </c>
      <c r="BI68" s="98">
        <v>115</v>
      </c>
      <c r="BJ68" s="2"/>
      <c r="BK68" s="97">
        <v>57</v>
      </c>
      <c r="BL68" s="95">
        <v>82</v>
      </c>
      <c r="BM68" s="95">
        <v>73</v>
      </c>
      <c r="BN68" s="95">
        <v>117</v>
      </c>
      <c r="BO68" s="98">
        <v>329</v>
      </c>
      <c r="BP68" s="62"/>
      <c r="BQ68" s="97">
        <v>86</v>
      </c>
      <c r="BR68" s="95">
        <v>71</v>
      </c>
      <c r="BS68" s="95">
        <v>97</v>
      </c>
      <c r="BT68" s="95">
        <v>129</v>
      </c>
      <c r="BU68" s="98">
        <v>383</v>
      </c>
      <c r="BV68" s="99"/>
      <c r="BW68" s="97">
        <v>88</v>
      </c>
      <c r="BX68" s="100">
        <v>129</v>
      </c>
      <c r="BY68" s="100">
        <v>86</v>
      </c>
      <c r="BZ68" s="100">
        <f t="shared" si="6"/>
        <v>156</v>
      </c>
      <c r="CA68" s="98">
        <v>459</v>
      </c>
      <c r="CB68" s="59"/>
      <c r="CC68" s="97">
        <v>111</v>
      </c>
      <c r="CD68" s="100">
        <v>126</v>
      </c>
      <c r="CE68" s="100">
        <v>124</v>
      </c>
      <c r="CF68" s="100">
        <f t="shared" si="7"/>
        <v>178</v>
      </c>
      <c r="CG68" s="98">
        <v>539</v>
      </c>
      <c r="CH68" s="2"/>
      <c r="CI68" s="59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 x14ac:dyDescent="0.2">
      <c r="A69" s="30" t="s">
        <v>43</v>
      </c>
      <c r="B69" s="111"/>
      <c r="C69" s="97">
        <v>1</v>
      </c>
      <c r="D69" s="95">
        <v>2</v>
      </c>
      <c r="E69" s="95">
        <v>1</v>
      </c>
      <c r="F69" s="95">
        <v>2</v>
      </c>
      <c r="G69" s="98">
        <v>6</v>
      </c>
      <c r="H69" s="2"/>
      <c r="I69" s="97">
        <v>1</v>
      </c>
      <c r="J69" s="95">
        <v>2</v>
      </c>
      <c r="K69" s="95"/>
      <c r="L69" s="95">
        <v>1</v>
      </c>
      <c r="M69" s="98">
        <v>4</v>
      </c>
      <c r="N69" s="115"/>
      <c r="O69" s="97">
        <v>1</v>
      </c>
      <c r="P69" s="95"/>
      <c r="Q69" s="95">
        <v>1</v>
      </c>
      <c r="R69" s="95"/>
      <c r="S69" s="98">
        <v>2</v>
      </c>
      <c r="T69" s="2"/>
      <c r="U69" s="97">
        <v>1</v>
      </c>
      <c r="V69" s="95">
        <v>1</v>
      </c>
      <c r="W69" s="95">
        <v>1</v>
      </c>
      <c r="X69" s="95">
        <v>1</v>
      </c>
      <c r="Y69" s="98">
        <v>4</v>
      </c>
      <c r="Z69" s="2"/>
      <c r="AA69" s="97">
        <v>6</v>
      </c>
      <c r="AB69" s="95">
        <v>8</v>
      </c>
      <c r="AC69" s="95">
        <v>6</v>
      </c>
      <c r="AD69" s="95">
        <v>8</v>
      </c>
      <c r="AE69" s="98">
        <v>28</v>
      </c>
      <c r="AF69" s="2"/>
      <c r="AG69" s="97">
        <v>1</v>
      </c>
      <c r="AH69" s="95">
        <v>6</v>
      </c>
      <c r="AI69" s="95">
        <v>12</v>
      </c>
      <c r="AJ69" s="95">
        <v>14</v>
      </c>
      <c r="AK69" s="98">
        <v>33</v>
      </c>
      <c r="AL69" s="2"/>
      <c r="AM69" s="97">
        <v>15</v>
      </c>
      <c r="AN69" s="95">
        <v>15</v>
      </c>
      <c r="AO69" s="95">
        <v>16</v>
      </c>
      <c r="AP69" s="95">
        <v>16</v>
      </c>
      <c r="AQ69" s="98">
        <v>62</v>
      </c>
      <c r="AR69" s="2"/>
      <c r="AS69" s="97">
        <v>10</v>
      </c>
      <c r="AT69" s="95">
        <v>14</v>
      </c>
      <c r="AU69" s="95">
        <v>19</v>
      </c>
      <c r="AV69" s="95">
        <v>20</v>
      </c>
      <c r="AW69" s="98">
        <v>63</v>
      </c>
      <c r="AX69" s="2"/>
      <c r="AY69" s="97">
        <v>6</v>
      </c>
      <c r="AZ69" s="95">
        <v>11</v>
      </c>
      <c r="BA69" s="95">
        <v>26</v>
      </c>
      <c r="BB69" s="95">
        <v>13</v>
      </c>
      <c r="BC69" s="98">
        <v>56</v>
      </c>
      <c r="BD69" s="2"/>
      <c r="BE69" s="97">
        <v>14</v>
      </c>
      <c r="BF69" s="95">
        <v>16</v>
      </c>
      <c r="BG69" s="95">
        <v>10</v>
      </c>
      <c r="BH69" s="95">
        <v>37</v>
      </c>
      <c r="BI69" s="98">
        <v>77</v>
      </c>
      <c r="BJ69" s="2"/>
      <c r="BK69" s="97">
        <v>38</v>
      </c>
      <c r="BL69" s="95">
        <v>27</v>
      </c>
      <c r="BM69" s="95">
        <v>50</v>
      </c>
      <c r="BN69" s="95">
        <v>94</v>
      </c>
      <c r="BO69" s="98">
        <v>209</v>
      </c>
      <c r="BP69" s="62"/>
      <c r="BQ69" s="97">
        <v>52</v>
      </c>
      <c r="BR69" s="95">
        <v>41</v>
      </c>
      <c r="BS69" s="95">
        <v>46</v>
      </c>
      <c r="BT69" s="95">
        <v>91</v>
      </c>
      <c r="BU69" s="98">
        <v>230</v>
      </c>
      <c r="BV69" s="99"/>
      <c r="BW69" s="97">
        <v>40</v>
      </c>
      <c r="BX69" s="100">
        <v>47</v>
      </c>
      <c r="BY69" s="100">
        <v>79</v>
      </c>
      <c r="BZ69" s="100">
        <f t="shared" si="6"/>
        <v>74</v>
      </c>
      <c r="CA69" s="98">
        <v>240</v>
      </c>
      <c r="CB69" s="59"/>
      <c r="CC69" s="97">
        <v>40</v>
      </c>
      <c r="CD69" s="100">
        <v>61</v>
      </c>
      <c r="CE69" s="100">
        <v>62</v>
      </c>
      <c r="CF69" s="100">
        <f t="shared" si="7"/>
        <v>90</v>
      </c>
      <c r="CG69" s="98">
        <v>253</v>
      </c>
      <c r="CH69" s="2"/>
      <c r="CI69" s="59"/>
      <c r="CJ69" s="3"/>
      <c r="CK69" s="3"/>
      <c r="CL69" s="2"/>
      <c r="CM69" s="2"/>
      <c r="CN69" s="2"/>
      <c r="CO69" s="2"/>
      <c r="CP69" s="2"/>
      <c r="CQ69" s="2"/>
      <c r="CR69" s="2"/>
      <c r="CS69" s="2"/>
      <c r="CT69" s="2"/>
    </row>
    <row r="70" spans="1:98" x14ac:dyDescent="0.2">
      <c r="A70" s="51" t="s">
        <v>36</v>
      </c>
      <c r="B70" s="111"/>
      <c r="C70" s="102">
        <v>99</v>
      </c>
      <c r="D70" s="103">
        <v>97</v>
      </c>
      <c r="E70" s="103">
        <v>74</v>
      </c>
      <c r="F70" s="103">
        <v>114</v>
      </c>
      <c r="G70" s="104">
        <v>384</v>
      </c>
      <c r="H70" s="2"/>
      <c r="I70" s="102">
        <v>114</v>
      </c>
      <c r="J70" s="103">
        <v>123</v>
      </c>
      <c r="K70" s="103">
        <v>116</v>
      </c>
      <c r="L70" s="103">
        <v>141</v>
      </c>
      <c r="M70" s="104">
        <v>494</v>
      </c>
      <c r="N70" s="115"/>
      <c r="O70" s="102">
        <v>57</v>
      </c>
      <c r="P70" s="103">
        <v>76</v>
      </c>
      <c r="Q70" s="103">
        <v>88</v>
      </c>
      <c r="R70" s="103">
        <v>134</v>
      </c>
      <c r="S70" s="104">
        <v>355</v>
      </c>
      <c r="T70" s="2"/>
      <c r="U70" s="102">
        <v>82</v>
      </c>
      <c r="V70" s="103">
        <v>139</v>
      </c>
      <c r="W70" s="103">
        <v>158</v>
      </c>
      <c r="X70" s="103">
        <v>139</v>
      </c>
      <c r="Y70" s="104">
        <v>518</v>
      </c>
      <c r="Z70" s="2"/>
      <c r="AA70" s="102">
        <v>172</v>
      </c>
      <c r="AB70" s="103">
        <v>263</v>
      </c>
      <c r="AC70" s="103">
        <v>258</v>
      </c>
      <c r="AD70" s="103">
        <v>233</v>
      </c>
      <c r="AE70" s="104">
        <v>926</v>
      </c>
      <c r="AF70" s="2"/>
      <c r="AG70" s="102">
        <v>225</v>
      </c>
      <c r="AH70" s="103">
        <v>276</v>
      </c>
      <c r="AI70" s="103">
        <v>434</v>
      </c>
      <c r="AJ70" s="103">
        <v>489</v>
      </c>
      <c r="AK70" s="104">
        <v>1424</v>
      </c>
      <c r="AL70" s="2"/>
      <c r="AM70" s="102">
        <v>368</v>
      </c>
      <c r="AN70" s="103">
        <v>478</v>
      </c>
      <c r="AO70" s="103">
        <v>470</v>
      </c>
      <c r="AP70" s="103">
        <v>468</v>
      </c>
      <c r="AQ70" s="104">
        <v>1784</v>
      </c>
      <c r="AR70" s="2"/>
      <c r="AS70" s="102">
        <v>389</v>
      </c>
      <c r="AT70" s="103">
        <v>461</v>
      </c>
      <c r="AU70" s="103">
        <v>493</v>
      </c>
      <c r="AV70" s="103">
        <v>583</v>
      </c>
      <c r="AW70" s="104">
        <v>1926</v>
      </c>
      <c r="AX70" s="2"/>
      <c r="AY70" s="102">
        <v>408</v>
      </c>
      <c r="AZ70" s="103">
        <v>617</v>
      </c>
      <c r="BA70" s="103">
        <v>638</v>
      </c>
      <c r="BB70" s="103">
        <v>677</v>
      </c>
      <c r="BC70" s="104">
        <v>2340</v>
      </c>
      <c r="BD70" s="2"/>
      <c r="BE70" s="102">
        <v>491</v>
      </c>
      <c r="BF70" s="103">
        <v>680</v>
      </c>
      <c r="BG70" s="103">
        <v>636</v>
      </c>
      <c r="BH70" s="103">
        <v>738</v>
      </c>
      <c r="BI70" s="104">
        <v>2545</v>
      </c>
      <c r="BJ70" s="2"/>
      <c r="BK70" s="102">
        <v>687</v>
      </c>
      <c r="BL70" s="103">
        <v>997</v>
      </c>
      <c r="BM70" s="103">
        <v>831</v>
      </c>
      <c r="BN70" s="103">
        <v>1046</v>
      </c>
      <c r="BO70" s="104">
        <v>3561</v>
      </c>
      <c r="BP70" s="62"/>
      <c r="BQ70" s="102">
        <v>820</v>
      </c>
      <c r="BR70" s="103">
        <v>1073</v>
      </c>
      <c r="BS70" s="103">
        <v>1112</v>
      </c>
      <c r="BT70" s="103">
        <v>1326</v>
      </c>
      <c r="BU70" s="104">
        <v>4331</v>
      </c>
      <c r="BV70" s="99"/>
      <c r="BW70" s="102">
        <f>SUM(BW64:BW69)</f>
        <v>1039</v>
      </c>
      <c r="BX70" s="105">
        <f>SUM(BX64:BX69)</f>
        <v>1230</v>
      </c>
      <c r="BY70" s="105">
        <f>SUM(BY64:BY69)</f>
        <v>1140</v>
      </c>
      <c r="BZ70" s="105">
        <f>SUM(BZ64:BZ69)</f>
        <v>1304</v>
      </c>
      <c r="CA70" s="104">
        <f>SUM(CA64:CA69)</f>
        <v>4713</v>
      </c>
      <c r="CB70" s="2"/>
      <c r="CC70" s="102">
        <f>SUM(CC64:CC69)</f>
        <v>1134</v>
      </c>
      <c r="CD70" s="105">
        <f>SUM(CD64:CD69)</f>
        <v>1264</v>
      </c>
      <c r="CE70" s="105">
        <f>SUM(CE64:CE69)</f>
        <v>1291</v>
      </c>
      <c r="CF70" s="105">
        <f>SUM(CF64:CF69)</f>
        <v>1316</v>
      </c>
      <c r="CG70" s="104">
        <f>SUM(CG64:CG69)</f>
        <v>5005</v>
      </c>
      <c r="CH70" s="115"/>
      <c r="CI70" s="59"/>
      <c r="CJ70" s="1"/>
      <c r="CK70" s="1"/>
      <c r="CL70" s="2"/>
      <c r="CM70" s="2"/>
      <c r="CN70" s="2"/>
      <c r="CO70" s="2"/>
      <c r="CP70" s="115"/>
      <c r="CQ70" s="115"/>
      <c r="CR70" s="2"/>
      <c r="CS70" s="2"/>
      <c r="CT70" s="2"/>
    </row>
    <row r="71" spans="1:98" x14ac:dyDescent="0.2">
      <c r="A71" s="30" t="s">
        <v>16</v>
      </c>
      <c r="B71" s="111"/>
      <c r="C71" s="97">
        <v>64</v>
      </c>
      <c r="D71" s="95">
        <v>64</v>
      </c>
      <c r="E71" s="95">
        <v>47</v>
      </c>
      <c r="F71" s="95">
        <v>71</v>
      </c>
      <c r="G71" s="98">
        <v>246</v>
      </c>
      <c r="H71" s="2"/>
      <c r="I71" s="97">
        <v>72</v>
      </c>
      <c r="J71" s="95">
        <v>78</v>
      </c>
      <c r="K71" s="95">
        <v>71</v>
      </c>
      <c r="L71" s="95">
        <v>84</v>
      </c>
      <c r="M71" s="98">
        <v>305</v>
      </c>
      <c r="N71" s="2"/>
      <c r="O71" s="97">
        <v>36</v>
      </c>
      <c r="P71" s="95">
        <v>50</v>
      </c>
      <c r="Q71" s="95">
        <v>55</v>
      </c>
      <c r="R71" s="95">
        <v>79</v>
      </c>
      <c r="S71" s="98">
        <v>220</v>
      </c>
      <c r="T71" s="2"/>
      <c r="U71" s="97">
        <v>50</v>
      </c>
      <c r="V71" s="95">
        <v>82</v>
      </c>
      <c r="W71" s="95">
        <v>89</v>
      </c>
      <c r="X71" s="95">
        <v>81</v>
      </c>
      <c r="Y71" s="98">
        <v>302</v>
      </c>
      <c r="Z71" s="2"/>
      <c r="AA71" s="97">
        <v>95</v>
      </c>
      <c r="AB71" s="95">
        <v>134</v>
      </c>
      <c r="AC71" s="95">
        <v>138</v>
      </c>
      <c r="AD71" s="95">
        <v>129</v>
      </c>
      <c r="AE71" s="98">
        <v>496</v>
      </c>
      <c r="AF71" s="2"/>
      <c r="AG71" s="97">
        <v>125</v>
      </c>
      <c r="AH71" s="95">
        <v>149</v>
      </c>
      <c r="AI71" s="95">
        <v>211</v>
      </c>
      <c r="AJ71" s="95">
        <v>235</v>
      </c>
      <c r="AK71" s="98">
        <v>720</v>
      </c>
      <c r="AL71" s="2"/>
      <c r="AM71" s="97">
        <v>172</v>
      </c>
      <c r="AN71" s="95">
        <v>204</v>
      </c>
      <c r="AO71" s="95">
        <v>207</v>
      </c>
      <c r="AP71" s="95">
        <v>215</v>
      </c>
      <c r="AQ71" s="98">
        <v>798</v>
      </c>
      <c r="AR71" s="2"/>
      <c r="AS71" s="97">
        <v>174</v>
      </c>
      <c r="AT71" s="95">
        <v>202.2</v>
      </c>
      <c r="AU71" s="95">
        <v>217</v>
      </c>
      <c r="AV71" s="95">
        <v>268</v>
      </c>
      <c r="AW71" s="98">
        <v>861.2</v>
      </c>
      <c r="AX71" s="2"/>
      <c r="AY71" s="97">
        <v>182</v>
      </c>
      <c r="AZ71" s="95">
        <v>275</v>
      </c>
      <c r="BA71" s="95">
        <v>286</v>
      </c>
      <c r="BB71" s="95">
        <v>310</v>
      </c>
      <c r="BC71" s="98">
        <v>1053</v>
      </c>
      <c r="BD71" s="2"/>
      <c r="BE71" s="97">
        <v>222</v>
      </c>
      <c r="BF71" s="95">
        <v>303</v>
      </c>
      <c r="BG71" s="95">
        <v>284</v>
      </c>
      <c r="BH71" s="95">
        <v>341</v>
      </c>
      <c r="BI71" s="98">
        <v>1150</v>
      </c>
      <c r="BJ71" s="2"/>
      <c r="BK71" s="97">
        <v>282</v>
      </c>
      <c r="BL71" s="95">
        <v>423</v>
      </c>
      <c r="BM71" s="95">
        <v>361</v>
      </c>
      <c r="BN71" s="95">
        <v>474</v>
      </c>
      <c r="BO71" s="98">
        <v>1540</v>
      </c>
      <c r="BP71" s="62"/>
      <c r="BQ71" s="97">
        <v>348</v>
      </c>
      <c r="BR71" s="95">
        <v>475</v>
      </c>
      <c r="BS71" s="95">
        <v>511</v>
      </c>
      <c r="BT71" s="95">
        <v>597</v>
      </c>
      <c r="BU71" s="98">
        <v>1931</v>
      </c>
      <c r="BV71" s="2"/>
      <c r="BW71" s="97">
        <v>457</v>
      </c>
      <c r="BX71" s="100">
        <v>570</v>
      </c>
      <c r="BY71" s="100">
        <v>528</v>
      </c>
      <c r="BZ71" s="100">
        <f t="shared" ref="BZ71" si="8">CA71-BY71-BX71-BW71</f>
        <v>602</v>
      </c>
      <c r="CA71" s="98">
        <v>2157</v>
      </c>
      <c r="CB71" s="2"/>
      <c r="CC71" s="97">
        <v>511</v>
      </c>
      <c r="CD71" s="100">
        <v>587</v>
      </c>
      <c r="CE71" s="100">
        <v>603</v>
      </c>
      <c r="CF71" s="100">
        <f>CG71-CE71-CD71-CC71</f>
        <v>623</v>
      </c>
      <c r="CG71" s="98">
        <v>2324</v>
      </c>
      <c r="CH71" s="2"/>
      <c r="CI71" s="59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 s="38" customFormat="1" x14ac:dyDescent="0.2">
      <c r="A72" s="32" t="s">
        <v>37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7">
        <v>0.44585546063264836</v>
      </c>
      <c r="BW72" s="151">
        <f>BW71/BW70</f>
        <v>0.43984600577478344</v>
      </c>
      <c r="BX72" s="152">
        <f>BX71/BX70</f>
        <v>0.46341463414634149</v>
      </c>
      <c r="BY72" s="152">
        <f>BY71/BY70</f>
        <v>0.4631578947368421</v>
      </c>
      <c r="BZ72" s="152">
        <f>BZ71/BZ70</f>
        <v>0.46165644171779141</v>
      </c>
      <c r="CA72" s="57">
        <f>CA71/CA70</f>
        <v>0.4576702737110121</v>
      </c>
      <c r="CB72" s="39"/>
      <c r="CC72" s="151">
        <f>CC71/CC70</f>
        <v>0.45061728395061729</v>
      </c>
      <c r="CD72" s="152">
        <f>CD71/CD70</f>
        <v>0.46439873417721517</v>
      </c>
      <c r="CE72" s="152">
        <f>CE71/CE70</f>
        <v>0.46707978311386522</v>
      </c>
      <c r="CF72" s="152">
        <f>CF71/CF70</f>
        <v>0.47340425531914893</v>
      </c>
      <c r="CG72" s="57">
        <f>CG71/CG70</f>
        <v>0.46433566433566431</v>
      </c>
      <c r="CI72" s="59"/>
      <c r="CM72" s="149"/>
      <c r="CO72" s="148"/>
      <c r="CR72" s="39"/>
      <c r="CT72" s="39"/>
    </row>
    <row r="73" spans="1:98" x14ac:dyDescent="0.2">
      <c r="A73" s="30" t="s">
        <v>18</v>
      </c>
      <c r="B73" s="106"/>
      <c r="C73" s="116">
        <v>29</v>
      </c>
      <c r="D73" s="117">
        <v>32</v>
      </c>
      <c r="E73" s="117">
        <v>32</v>
      </c>
      <c r="F73" s="117">
        <v>45</v>
      </c>
      <c r="G73" s="98">
        <v>138</v>
      </c>
      <c r="H73" s="2"/>
      <c r="I73" s="116">
        <v>40</v>
      </c>
      <c r="J73" s="117">
        <v>45</v>
      </c>
      <c r="K73" s="117">
        <v>41</v>
      </c>
      <c r="L73" s="117">
        <v>53</v>
      </c>
      <c r="M73" s="98">
        <v>179</v>
      </c>
      <c r="N73" s="2"/>
      <c r="O73" s="116">
        <v>45</v>
      </c>
      <c r="P73" s="117">
        <v>54</v>
      </c>
      <c r="Q73" s="117">
        <v>41</v>
      </c>
      <c r="R73" s="117">
        <v>41</v>
      </c>
      <c r="S73" s="98">
        <v>181</v>
      </c>
      <c r="T73" s="118"/>
      <c r="U73" s="116">
        <v>39</v>
      </c>
      <c r="V73" s="117">
        <v>48</v>
      </c>
      <c r="W73" s="117">
        <v>49</v>
      </c>
      <c r="X73" s="117">
        <v>51</v>
      </c>
      <c r="Y73" s="98">
        <v>187</v>
      </c>
      <c r="Z73" s="2"/>
      <c r="AA73" s="116">
        <v>70</v>
      </c>
      <c r="AB73" s="117">
        <v>82</v>
      </c>
      <c r="AC73" s="117">
        <v>84</v>
      </c>
      <c r="AD73" s="117">
        <v>89</v>
      </c>
      <c r="AE73" s="98">
        <v>325</v>
      </c>
      <c r="AF73" s="2"/>
      <c r="AG73" s="116">
        <v>92</v>
      </c>
      <c r="AH73" s="117">
        <v>99</v>
      </c>
      <c r="AI73" s="117">
        <v>141</v>
      </c>
      <c r="AJ73" s="117">
        <v>145</v>
      </c>
      <c r="AK73" s="98">
        <v>477</v>
      </c>
      <c r="AL73" s="2"/>
      <c r="AM73" s="116">
        <v>145</v>
      </c>
      <c r="AN73" s="117">
        <v>153</v>
      </c>
      <c r="AO73" s="117">
        <v>145</v>
      </c>
      <c r="AP73" s="117">
        <v>156</v>
      </c>
      <c r="AQ73" s="98">
        <v>599</v>
      </c>
      <c r="AR73" s="2"/>
      <c r="AS73" s="116">
        <v>171</v>
      </c>
      <c r="AT73" s="117">
        <v>168</v>
      </c>
      <c r="AU73" s="117">
        <v>151</v>
      </c>
      <c r="AV73" s="117">
        <v>167</v>
      </c>
      <c r="AW73" s="98">
        <v>657</v>
      </c>
      <c r="AX73" s="2"/>
      <c r="AY73" s="116">
        <v>178</v>
      </c>
      <c r="AZ73" s="95">
        <v>191</v>
      </c>
      <c r="BA73" s="95">
        <v>199</v>
      </c>
      <c r="BB73" s="95">
        <v>195</v>
      </c>
      <c r="BC73" s="98">
        <v>763</v>
      </c>
      <c r="BD73" s="2"/>
      <c r="BE73" s="116">
        <v>206</v>
      </c>
      <c r="BF73" s="95">
        <v>211</v>
      </c>
      <c r="BG73" s="95">
        <v>198</v>
      </c>
      <c r="BH73" s="95">
        <v>207</v>
      </c>
      <c r="BI73" s="98">
        <v>822</v>
      </c>
      <c r="BJ73" s="2"/>
      <c r="BK73" s="116">
        <v>252</v>
      </c>
      <c r="BL73" s="95">
        <v>292</v>
      </c>
      <c r="BM73" s="95">
        <v>278</v>
      </c>
      <c r="BN73" s="95">
        <v>292</v>
      </c>
      <c r="BO73" s="119">
        <v>1114</v>
      </c>
      <c r="BP73" s="62"/>
      <c r="BQ73" s="116">
        <v>307</v>
      </c>
      <c r="BR73" s="95">
        <v>330</v>
      </c>
      <c r="BS73" s="95">
        <v>327</v>
      </c>
      <c r="BT73" s="95">
        <v>360</v>
      </c>
      <c r="BU73" s="119">
        <v>1324</v>
      </c>
      <c r="BV73" s="2"/>
      <c r="BW73" s="116">
        <v>365</v>
      </c>
      <c r="BX73" s="120">
        <v>377</v>
      </c>
      <c r="BY73" s="100">
        <v>360</v>
      </c>
      <c r="BZ73" s="100">
        <f t="shared" ref="BZ73" si="9">CA73-BY73-BX73-BW73</f>
        <v>386</v>
      </c>
      <c r="CA73" s="119">
        <v>1488</v>
      </c>
      <c r="CB73" s="2"/>
      <c r="CC73" s="116">
        <v>397</v>
      </c>
      <c r="CD73" s="100">
        <v>381</v>
      </c>
      <c r="CE73" s="100">
        <v>382</v>
      </c>
      <c r="CF73" s="100">
        <f>CG73-CE73-CD73-CC73</f>
        <v>374</v>
      </c>
      <c r="CG73" s="119">
        <v>1534</v>
      </c>
      <c r="CH73" s="2"/>
      <c r="CI73" s="59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 x14ac:dyDescent="0.2">
      <c r="A74" s="51" t="s">
        <v>107</v>
      </c>
      <c r="B74" s="88"/>
      <c r="C74" s="102">
        <v>35</v>
      </c>
      <c r="D74" s="103">
        <v>32</v>
      </c>
      <c r="E74" s="103">
        <v>15</v>
      </c>
      <c r="F74" s="103">
        <v>26</v>
      </c>
      <c r="G74" s="104">
        <v>108</v>
      </c>
      <c r="H74" s="2"/>
      <c r="I74" s="102">
        <v>32</v>
      </c>
      <c r="J74" s="103">
        <v>33</v>
      </c>
      <c r="K74" s="103">
        <v>30</v>
      </c>
      <c r="L74" s="103">
        <v>31</v>
      </c>
      <c r="M74" s="104">
        <v>126</v>
      </c>
      <c r="N74" s="2"/>
      <c r="O74" s="102">
        <v>-9</v>
      </c>
      <c r="P74" s="103">
        <v>-4</v>
      </c>
      <c r="Q74" s="103">
        <v>14</v>
      </c>
      <c r="R74" s="103">
        <v>38</v>
      </c>
      <c r="S74" s="104">
        <v>39</v>
      </c>
      <c r="T74" s="2"/>
      <c r="U74" s="102">
        <v>11</v>
      </c>
      <c r="V74" s="103">
        <v>34</v>
      </c>
      <c r="W74" s="103">
        <v>40</v>
      </c>
      <c r="X74" s="103">
        <v>30</v>
      </c>
      <c r="Y74" s="104">
        <v>115</v>
      </c>
      <c r="Z74" s="2"/>
      <c r="AA74" s="102">
        <v>25</v>
      </c>
      <c r="AB74" s="103">
        <v>52</v>
      </c>
      <c r="AC74" s="103">
        <v>54</v>
      </c>
      <c r="AD74" s="103">
        <v>40</v>
      </c>
      <c r="AE74" s="104">
        <v>171</v>
      </c>
      <c r="AF74" s="2"/>
      <c r="AG74" s="102">
        <v>33</v>
      </c>
      <c r="AH74" s="103">
        <v>50</v>
      </c>
      <c r="AI74" s="103">
        <v>70</v>
      </c>
      <c r="AJ74" s="103">
        <v>90</v>
      </c>
      <c r="AK74" s="104">
        <v>243</v>
      </c>
      <c r="AL74" s="2"/>
      <c r="AM74" s="102">
        <v>27</v>
      </c>
      <c r="AN74" s="103">
        <v>51</v>
      </c>
      <c r="AO74" s="103">
        <v>62</v>
      </c>
      <c r="AP74" s="103">
        <v>59</v>
      </c>
      <c r="AQ74" s="104">
        <v>199</v>
      </c>
      <c r="AR74" s="95"/>
      <c r="AS74" s="102">
        <v>3</v>
      </c>
      <c r="AT74" s="103">
        <v>34.199999999999989</v>
      </c>
      <c r="AU74" s="103">
        <v>66</v>
      </c>
      <c r="AV74" s="103">
        <v>101</v>
      </c>
      <c r="AW74" s="104">
        <v>204.20000000000005</v>
      </c>
      <c r="AX74" s="95"/>
      <c r="AY74" s="102">
        <v>4</v>
      </c>
      <c r="AZ74" s="103">
        <v>84</v>
      </c>
      <c r="BA74" s="103">
        <v>87</v>
      </c>
      <c r="BB74" s="103">
        <v>115</v>
      </c>
      <c r="BC74" s="104">
        <v>290</v>
      </c>
      <c r="BD74" s="95"/>
      <c r="BE74" s="102">
        <v>16</v>
      </c>
      <c r="BF74" s="103">
        <v>92</v>
      </c>
      <c r="BG74" s="103">
        <v>86</v>
      </c>
      <c r="BH74" s="103">
        <v>134</v>
      </c>
      <c r="BI74" s="104">
        <v>328</v>
      </c>
      <c r="BJ74" s="95"/>
      <c r="BK74" s="102">
        <v>30</v>
      </c>
      <c r="BL74" s="103">
        <v>131</v>
      </c>
      <c r="BM74" s="103">
        <v>83</v>
      </c>
      <c r="BN74" s="103">
        <v>182</v>
      </c>
      <c r="BO74" s="104">
        <v>426</v>
      </c>
      <c r="BP74" s="62"/>
      <c r="BQ74" s="102">
        <v>41</v>
      </c>
      <c r="BR74" s="103">
        <v>145</v>
      </c>
      <c r="BS74" s="103">
        <v>184</v>
      </c>
      <c r="BT74" s="103">
        <v>237</v>
      </c>
      <c r="BU74" s="104">
        <v>607</v>
      </c>
      <c r="BV74" s="2"/>
      <c r="BW74" s="102">
        <f>BW71-BW73</f>
        <v>92</v>
      </c>
      <c r="BX74" s="105">
        <f>BX71-BX73</f>
        <v>193</v>
      </c>
      <c r="BY74" s="105">
        <f>BY71-BY73</f>
        <v>168</v>
      </c>
      <c r="BZ74" s="105">
        <f>BZ71-BZ73</f>
        <v>216</v>
      </c>
      <c r="CA74" s="104">
        <f>CA71-CA73</f>
        <v>669</v>
      </c>
      <c r="CB74" s="2"/>
      <c r="CC74" s="102">
        <f>CC71-CC73</f>
        <v>114</v>
      </c>
      <c r="CD74" s="105">
        <f>CD71-CD73</f>
        <v>206</v>
      </c>
      <c r="CE74" s="105">
        <f>CE71-CE73</f>
        <v>221</v>
      </c>
      <c r="CF74" s="105">
        <f>CF71-CF73</f>
        <v>249</v>
      </c>
      <c r="CG74" s="104">
        <f>CG71-CG73</f>
        <v>790</v>
      </c>
      <c r="CH74" s="2"/>
      <c r="CI74" s="59"/>
      <c r="CJ74" s="2"/>
      <c r="CK74" s="2"/>
      <c r="CL74" s="2"/>
      <c r="CM74" s="2"/>
      <c r="CN74" s="2"/>
      <c r="CO74" s="2"/>
      <c r="CP74" s="115"/>
      <c r="CQ74" s="115"/>
      <c r="CR74" s="2"/>
      <c r="CS74" s="2"/>
      <c r="CT74" s="2"/>
    </row>
    <row r="75" spans="1:98" s="38" customFormat="1" x14ac:dyDescent="0.2">
      <c r="A75" s="32" t="s">
        <v>37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51">
        <f>BW74/BW70</f>
        <v>8.8546679499518763E-2</v>
      </c>
      <c r="BX75" s="152">
        <f>BX74/BX70</f>
        <v>0.15691056910569107</v>
      </c>
      <c r="BY75" s="152">
        <f>BY74/BY70</f>
        <v>0.14736842105263157</v>
      </c>
      <c r="BZ75" s="152">
        <f>BZ74/BZ70</f>
        <v>0.16564417177914109</v>
      </c>
      <c r="CA75" s="57">
        <f>CA74/CA70</f>
        <v>0.14194780394653086</v>
      </c>
      <c r="CB75" s="39"/>
      <c r="CC75" s="151">
        <f>CC74/CC70</f>
        <v>0.10052910052910052</v>
      </c>
      <c r="CD75" s="152">
        <f>CD74/CD70</f>
        <v>0.16297468354430381</v>
      </c>
      <c r="CE75" s="152">
        <f>CE74/CE70</f>
        <v>0.17118512780790085</v>
      </c>
      <c r="CF75" s="152">
        <f>CF74/CF70</f>
        <v>0.18920972644376899</v>
      </c>
      <c r="CG75" s="57">
        <f>CG74/CG70</f>
        <v>0.15784215784215785</v>
      </c>
    </row>
    <row r="76" spans="1:98" x14ac:dyDescent="0.2">
      <c r="A76" s="30" t="s">
        <v>20</v>
      </c>
      <c r="B76" s="2"/>
      <c r="C76" s="121">
        <v>2</v>
      </c>
      <c r="D76" s="122">
        <v>2</v>
      </c>
      <c r="E76" s="122">
        <v>2</v>
      </c>
      <c r="F76" s="122">
        <v>2</v>
      </c>
      <c r="G76" s="98">
        <v>8</v>
      </c>
      <c r="H76" s="2"/>
      <c r="I76" s="121">
        <v>2</v>
      </c>
      <c r="J76" s="122">
        <v>2</v>
      </c>
      <c r="K76" s="122">
        <v>2</v>
      </c>
      <c r="L76" s="122">
        <v>2</v>
      </c>
      <c r="M76" s="98">
        <v>8</v>
      </c>
      <c r="N76" s="2"/>
      <c r="O76" s="121">
        <v>2</v>
      </c>
      <c r="P76" s="122">
        <v>2</v>
      </c>
      <c r="Q76" s="122">
        <v>2</v>
      </c>
      <c r="R76" s="122">
        <v>22</v>
      </c>
      <c r="S76" s="98">
        <v>28</v>
      </c>
      <c r="T76" s="2"/>
      <c r="U76" s="121">
        <v>3</v>
      </c>
      <c r="V76" s="122">
        <v>3</v>
      </c>
      <c r="W76" s="122">
        <v>3</v>
      </c>
      <c r="X76" s="122">
        <v>3</v>
      </c>
      <c r="Y76" s="98">
        <v>12</v>
      </c>
      <c r="Z76" s="106"/>
      <c r="AA76" s="121">
        <v>5</v>
      </c>
      <c r="AB76" s="122">
        <v>6</v>
      </c>
      <c r="AC76" s="122">
        <v>6</v>
      </c>
      <c r="AD76" s="122">
        <v>7</v>
      </c>
      <c r="AE76" s="98">
        <v>24</v>
      </c>
      <c r="AF76" s="2"/>
      <c r="AG76" s="121">
        <v>6</v>
      </c>
      <c r="AH76" s="122">
        <v>7</v>
      </c>
      <c r="AI76" s="122">
        <v>16</v>
      </c>
      <c r="AJ76" s="122">
        <v>18</v>
      </c>
      <c r="AK76" s="98">
        <v>47</v>
      </c>
      <c r="AL76" s="2"/>
      <c r="AM76" s="121">
        <v>18</v>
      </c>
      <c r="AN76" s="122">
        <v>18</v>
      </c>
      <c r="AO76" s="122">
        <v>18</v>
      </c>
      <c r="AP76" s="122">
        <v>17</v>
      </c>
      <c r="AQ76" s="98">
        <v>71</v>
      </c>
      <c r="AR76" s="2"/>
      <c r="AS76" s="121">
        <v>19</v>
      </c>
      <c r="AT76" s="122">
        <v>19</v>
      </c>
      <c r="AU76" s="122">
        <v>19</v>
      </c>
      <c r="AV76" s="122">
        <v>18</v>
      </c>
      <c r="AW76" s="98">
        <v>75</v>
      </c>
      <c r="AX76" s="2"/>
      <c r="AY76" s="121">
        <v>20</v>
      </c>
      <c r="AZ76" s="95">
        <v>20</v>
      </c>
      <c r="BA76" s="95">
        <v>22</v>
      </c>
      <c r="BB76" s="95">
        <v>21</v>
      </c>
      <c r="BC76" s="98">
        <v>83</v>
      </c>
      <c r="BD76" s="2"/>
      <c r="BE76" s="121">
        <v>21</v>
      </c>
      <c r="BF76" s="95">
        <v>22</v>
      </c>
      <c r="BG76" s="95">
        <v>23</v>
      </c>
      <c r="BH76" s="95">
        <v>17</v>
      </c>
      <c r="BI76" s="98">
        <v>83</v>
      </c>
      <c r="BJ76" s="2"/>
      <c r="BK76" s="121">
        <v>22</v>
      </c>
      <c r="BL76" s="95">
        <v>24</v>
      </c>
      <c r="BM76" s="95">
        <v>23</v>
      </c>
      <c r="BN76" s="95">
        <v>26</v>
      </c>
      <c r="BO76" s="123">
        <v>95</v>
      </c>
      <c r="BP76" s="62"/>
      <c r="BQ76" s="121">
        <v>25</v>
      </c>
      <c r="BR76" s="95">
        <v>26</v>
      </c>
      <c r="BS76" s="95">
        <v>26</v>
      </c>
      <c r="BT76" s="95">
        <v>28</v>
      </c>
      <c r="BU76" s="123">
        <v>105</v>
      </c>
      <c r="BV76" s="2"/>
      <c r="BW76" s="121">
        <v>29</v>
      </c>
      <c r="BX76" s="100">
        <v>27</v>
      </c>
      <c r="BY76" s="100">
        <v>27</v>
      </c>
      <c r="BZ76" s="100">
        <f t="shared" ref="BZ76" si="10">CA76-BY76-BX76-BW76</f>
        <v>29</v>
      </c>
      <c r="CA76" s="123">
        <v>112</v>
      </c>
      <c r="CB76" s="2"/>
      <c r="CC76" s="121">
        <v>27</v>
      </c>
      <c r="CD76" s="100">
        <v>24</v>
      </c>
      <c r="CE76" s="100">
        <v>24</v>
      </c>
      <c r="CF76" s="100">
        <f>CG76-CE76-CD76-CC76</f>
        <v>24</v>
      </c>
      <c r="CG76" s="124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 x14ac:dyDescent="0.2">
      <c r="A77" s="30" t="s">
        <v>111</v>
      </c>
      <c r="B77" s="2"/>
      <c r="C77" s="108">
        <v>33</v>
      </c>
      <c r="D77" s="54">
        <v>30</v>
      </c>
      <c r="E77" s="54">
        <v>13</v>
      </c>
      <c r="F77" s="54">
        <v>24</v>
      </c>
      <c r="G77" s="109">
        <v>100</v>
      </c>
      <c r="H77" s="109"/>
      <c r="I77" s="108">
        <v>30</v>
      </c>
      <c r="J77" s="54">
        <v>31</v>
      </c>
      <c r="K77" s="54">
        <v>28</v>
      </c>
      <c r="L77" s="54">
        <v>29</v>
      </c>
      <c r="M77" s="109">
        <v>118</v>
      </c>
      <c r="N77" s="2"/>
      <c r="O77" s="108">
        <v>-11</v>
      </c>
      <c r="P77" s="54">
        <v>-6</v>
      </c>
      <c r="Q77" s="54">
        <v>12</v>
      </c>
      <c r="R77" s="54">
        <v>16</v>
      </c>
      <c r="S77" s="109">
        <v>11</v>
      </c>
      <c r="T77" s="2"/>
      <c r="U77" s="108">
        <v>8</v>
      </c>
      <c r="V77" s="54">
        <v>31</v>
      </c>
      <c r="W77" s="54">
        <v>37</v>
      </c>
      <c r="X77" s="54">
        <v>27</v>
      </c>
      <c r="Y77" s="109">
        <v>103</v>
      </c>
      <c r="Z77" s="106"/>
      <c r="AA77" s="108">
        <v>20</v>
      </c>
      <c r="AB77" s="54">
        <v>46</v>
      </c>
      <c r="AC77" s="54">
        <v>48</v>
      </c>
      <c r="AD77" s="54">
        <v>33</v>
      </c>
      <c r="AE77" s="109">
        <v>147</v>
      </c>
      <c r="AF77" s="2"/>
      <c r="AG77" s="108">
        <v>27</v>
      </c>
      <c r="AH77" s="54">
        <v>43</v>
      </c>
      <c r="AI77" s="54">
        <v>54</v>
      </c>
      <c r="AJ77" s="54">
        <v>72</v>
      </c>
      <c r="AK77" s="109">
        <v>196</v>
      </c>
      <c r="AL77" s="2"/>
      <c r="AM77" s="108">
        <v>9</v>
      </c>
      <c r="AN77" s="54">
        <v>33</v>
      </c>
      <c r="AO77" s="54">
        <v>44</v>
      </c>
      <c r="AP77" s="54">
        <v>42</v>
      </c>
      <c r="AQ77" s="109">
        <v>128</v>
      </c>
      <c r="AR77" s="2"/>
      <c r="AS77" s="108">
        <v>-16</v>
      </c>
      <c r="AT77" s="54">
        <v>15.199999999999989</v>
      </c>
      <c r="AU77" s="54">
        <v>47</v>
      </c>
      <c r="AV77" s="54">
        <v>83</v>
      </c>
      <c r="AW77" s="109">
        <v>129.20000000000005</v>
      </c>
      <c r="AX77" s="2"/>
      <c r="AY77" s="108">
        <v>-16</v>
      </c>
      <c r="AZ77" s="54">
        <v>64</v>
      </c>
      <c r="BA77" s="54">
        <v>65</v>
      </c>
      <c r="BB77" s="54">
        <v>94</v>
      </c>
      <c r="BC77" s="109">
        <v>207</v>
      </c>
      <c r="BD77" s="2"/>
      <c r="BE77" s="108">
        <v>-5</v>
      </c>
      <c r="BF77" s="54">
        <v>70</v>
      </c>
      <c r="BG77" s="54">
        <v>63</v>
      </c>
      <c r="BH77" s="54">
        <v>117</v>
      </c>
      <c r="BI77" s="109">
        <v>245</v>
      </c>
      <c r="BJ77" s="2"/>
      <c r="BK77" s="108">
        <v>8</v>
      </c>
      <c r="BL77" s="54">
        <v>107</v>
      </c>
      <c r="BM77" s="54">
        <v>60</v>
      </c>
      <c r="BN77" s="54">
        <v>156</v>
      </c>
      <c r="BO77" s="109">
        <v>331</v>
      </c>
      <c r="BP77" s="62"/>
      <c r="BQ77" s="108">
        <v>16</v>
      </c>
      <c r="BR77" s="54">
        <v>119</v>
      </c>
      <c r="BS77" s="54">
        <v>158</v>
      </c>
      <c r="BT77" s="54">
        <v>209</v>
      </c>
      <c r="BU77" s="109">
        <v>502</v>
      </c>
      <c r="BV77" s="2"/>
      <c r="BW77" s="108">
        <f>BW74-BW76</f>
        <v>63</v>
      </c>
      <c r="BX77" s="110">
        <f>BX74-BX76</f>
        <v>166</v>
      </c>
      <c r="BY77" s="110">
        <f>BY74-BY76</f>
        <v>141</v>
      </c>
      <c r="BZ77" s="110">
        <f>BZ74-BZ76</f>
        <v>187</v>
      </c>
      <c r="CA77" s="109">
        <f>CA74-CA76</f>
        <v>557</v>
      </c>
      <c r="CB77" s="2"/>
      <c r="CC77" s="108">
        <f>CC74-CC76</f>
        <v>87</v>
      </c>
      <c r="CD77" s="110">
        <f>CD74-CD76</f>
        <v>182</v>
      </c>
      <c r="CE77" s="110">
        <f>CE74-CE76</f>
        <v>197</v>
      </c>
      <c r="CF77" s="110">
        <f>CF74-CF76</f>
        <v>225</v>
      </c>
      <c r="CG77" s="109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 s="38" customFormat="1" x14ac:dyDescent="0.2">
      <c r="A78" s="32" t="s">
        <v>37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8" ht="5.25" customHeight="1" x14ac:dyDescent="0.2">
      <c r="A79" s="30"/>
      <c r="B79" s="106"/>
      <c r="C79" s="125"/>
      <c r="D79" s="106"/>
      <c r="E79" s="106"/>
      <c r="F79" s="106"/>
      <c r="G79" s="126"/>
      <c r="H79" s="2"/>
      <c r="I79" s="125"/>
      <c r="J79" s="106"/>
      <c r="K79" s="106"/>
      <c r="L79" s="106"/>
      <c r="M79" s="126"/>
      <c r="N79" s="2"/>
      <c r="O79" s="125"/>
      <c r="P79" s="106"/>
      <c r="Q79" s="106"/>
      <c r="R79" s="106"/>
      <c r="S79" s="126"/>
      <c r="T79" s="2"/>
      <c r="U79" s="125"/>
      <c r="V79" s="106"/>
      <c r="W79" s="106"/>
      <c r="X79" s="106"/>
      <c r="Y79" s="126"/>
      <c r="Z79" s="2"/>
      <c r="AA79" s="125"/>
      <c r="AB79" s="106"/>
      <c r="AC79" s="106"/>
      <c r="AD79" s="106"/>
      <c r="AE79" s="126"/>
      <c r="AF79" s="2"/>
      <c r="AG79" s="125"/>
      <c r="AH79" s="106"/>
      <c r="AI79" s="106"/>
      <c r="AJ79" s="106"/>
      <c r="AK79" s="126"/>
      <c r="AL79" s="2"/>
      <c r="AM79" s="125"/>
      <c r="AN79" s="106"/>
      <c r="AO79" s="106"/>
      <c r="AP79" s="106"/>
      <c r="AQ79" s="126"/>
      <c r="AR79" s="2"/>
      <c r="AS79" s="125"/>
      <c r="AT79" s="106"/>
      <c r="AU79" s="106"/>
      <c r="AV79" s="106"/>
      <c r="AW79" s="126"/>
      <c r="AX79" s="2"/>
      <c r="AY79" s="125"/>
      <c r="AZ79" s="106"/>
      <c r="BA79" s="106"/>
      <c r="BB79" s="106"/>
      <c r="BC79" s="126"/>
      <c r="BD79" s="2"/>
      <c r="BE79" s="125"/>
      <c r="BF79" s="106"/>
      <c r="BG79" s="106"/>
      <c r="BH79" s="106"/>
      <c r="BI79" s="126"/>
      <c r="BJ79" s="2"/>
      <c r="BK79" s="125"/>
      <c r="BL79" s="106"/>
      <c r="BM79" s="106"/>
      <c r="BN79" s="106"/>
      <c r="BO79" s="126"/>
      <c r="BP79" s="62"/>
      <c r="BQ79" s="125"/>
      <c r="BR79" s="106"/>
      <c r="BS79" s="106"/>
      <c r="BT79" s="106"/>
      <c r="BU79" s="126"/>
      <c r="BV79" s="2"/>
      <c r="BW79" s="125"/>
      <c r="BX79" s="127"/>
      <c r="BY79" s="127"/>
      <c r="BZ79" s="127"/>
      <c r="CA79" s="126"/>
      <c r="CB79" s="2"/>
      <c r="CC79" s="125"/>
      <c r="CD79" s="127"/>
      <c r="CE79" s="127"/>
      <c r="CF79" s="127"/>
      <c r="CG79" s="126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 x14ac:dyDescent="0.2">
      <c r="A80" s="31" t="s">
        <v>45</v>
      </c>
      <c r="B80" s="111"/>
      <c r="C80" s="93"/>
      <c r="D80" s="88"/>
      <c r="E80" s="88"/>
      <c r="F80" s="88"/>
      <c r="G80" s="94"/>
      <c r="H80" s="2"/>
      <c r="I80" s="93"/>
      <c r="J80" s="88"/>
      <c r="K80" s="88"/>
      <c r="L80" s="88"/>
      <c r="M80" s="94"/>
      <c r="N80" s="2"/>
      <c r="O80" s="93"/>
      <c r="P80" s="88"/>
      <c r="Q80" s="88"/>
      <c r="R80" s="88"/>
      <c r="S80" s="94"/>
      <c r="T80" s="2"/>
      <c r="U80" s="93"/>
      <c r="V80" s="88"/>
      <c r="W80" s="88"/>
      <c r="X80" s="88"/>
      <c r="Y80" s="94"/>
      <c r="Z80" s="2"/>
      <c r="AA80" s="93"/>
      <c r="AB80" s="88"/>
      <c r="AC80" s="88"/>
      <c r="AD80" s="88"/>
      <c r="AE80" s="94"/>
      <c r="AF80" s="2"/>
      <c r="AG80" s="93"/>
      <c r="AH80" s="88"/>
      <c r="AI80" s="88"/>
      <c r="AJ80" s="88"/>
      <c r="AK80" s="94"/>
      <c r="AL80" s="2"/>
      <c r="AM80" s="93"/>
      <c r="AN80" s="88"/>
      <c r="AO80" s="88"/>
      <c r="AP80" s="88"/>
      <c r="AQ80" s="94"/>
      <c r="AR80" s="2"/>
      <c r="AS80" s="93"/>
      <c r="AT80" s="88"/>
      <c r="AU80" s="88"/>
      <c r="AV80" s="88"/>
      <c r="AW80" s="94"/>
      <c r="AX80" s="2"/>
      <c r="AY80" s="93"/>
      <c r="AZ80" s="88"/>
      <c r="BA80" s="88"/>
      <c r="BB80" s="88"/>
      <c r="BC80" s="94"/>
      <c r="BD80" s="2"/>
      <c r="BE80" s="93"/>
      <c r="BF80" s="88"/>
      <c r="BG80" s="88"/>
      <c r="BH80" s="88"/>
      <c r="BI80" s="94"/>
      <c r="BJ80" s="2"/>
      <c r="BK80" s="93"/>
      <c r="BL80" s="88"/>
      <c r="BM80" s="88"/>
      <c r="BN80" s="88"/>
      <c r="BO80" s="94"/>
      <c r="BP80" s="62"/>
      <c r="BQ80" s="93"/>
      <c r="BR80" s="88"/>
      <c r="BS80" s="88"/>
      <c r="BT80" s="88"/>
      <c r="BU80" s="94"/>
      <c r="BV80" s="2"/>
      <c r="BW80" s="93"/>
      <c r="BX80" s="96"/>
      <c r="BY80" s="96"/>
      <c r="BZ80" s="96"/>
      <c r="CA80" s="94"/>
      <c r="CB80" s="2"/>
      <c r="CC80" s="93"/>
      <c r="CD80" s="96"/>
      <c r="CE80" s="96"/>
      <c r="CF80" s="96"/>
      <c r="CG80" s="94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5" x14ac:dyDescent="0.2">
      <c r="A81" s="51" t="s">
        <v>36</v>
      </c>
      <c r="B81" s="111"/>
      <c r="C81" s="102">
        <v>0</v>
      </c>
      <c r="D81" s="103">
        <v>0</v>
      </c>
      <c r="E81" s="103">
        <v>0</v>
      </c>
      <c r="F81" s="103">
        <v>0</v>
      </c>
      <c r="G81" s="104">
        <v>0</v>
      </c>
      <c r="H81" s="2"/>
      <c r="I81" s="102">
        <v>0</v>
      </c>
      <c r="J81" s="103">
        <v>0</v>
      </c>
      <c r="K81" s="103">
        <v>0</v>
      </c>
      <c r="L81" s="103">
        <v>0</v>
      </c>
      <c r="M81" s="104">
        <v>0</v>
      </c>
      <c r="N81" s="2"/>
      <c r="O81" s="102">
        <v>0</v>
      </c>
      <c r="P81" s="103">
        <v>0</v>
      </c>
      <c r="Q81" s="103">
        <v>0</v>
      </c>
      <c r="R81" s="103">
        <v>0</v>
      </c>
      <c r="S81" s="104">
        <v>0</v>
      </c>
      <c r="T81" s="2"/>
      <c r="U81" s="102">
        <v>0</v>
      </c>
      <c r="V81" s="103">
        <v>0</v>
      </c>
      <c r="W81" s="103">
        <v>0</v>
      </c>
      <c r="X81" s="103">
        <v>0</v>
      </c>
      <c r="Y81" s="104">
        <v>0</v>
      </c>
      <c r="Z81" s="2"/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2"/>
      <c r="AG81" s="102">
        <v>0</v>
      </c>
      <c r="AH81" s="103">
        <v>0</v>
      </c>
      <c r="AI81" s="103">
        <v>0</v>
      </c>
      <c r="AJ81" s="103">
        <v>0</v>
      </c>
      <c r="AK81" s="104">
        <v>0</v>
      </c>
      <c r="AL81" s="2"/>
      <c r="AM81" s="102">
        <v>0</v>
      </c>
      <c r="AN81" s="103">
        <v>0</v>
      </c>
      <c r="AO81" s="103">
        <v>0</v>
      </c>
      <c r="AP81" s="103">
        <v>0</v>
      </c>
      <c r="AQ81" s="104">
        <v>0</v>
      </c>
      <c r="AR81" s="2"/>
      <c r="AS81" s="102">
        <v>0</v>
      </c>
      <c r="AT81" s="103">
        <v>0</v>
      </c>
      <c r="AU81" s="103">
        <v>0</v>
      </c>
      <c r="AV81" s="103">
        <v>0</v>
      </c>
      <c r="AW81" s="104">
        <v>0</v>
      </c>
      <c r="AX81" s="2"/>
      <c r="AY81" s="102">
        <v>0</v>
      </c>
      <c r="AZ81" s="103">
        <v>0</v>
      </c>
      <c r="BA81" s="103">
        <v>0</v>
      </c>
      <c r="BB81" s="103">
        <v>0</v>
      </c>
      <c r="BC81" s="104">
        <v>0</v>
      </c>
      <c r="BD81" s="2"/>
      <c r="BE81" s="102">
        <v>0</v>
      </c>
      <c r="BF81" s="103">
        <v>0</v>
      </c>
      <c r="BG81" s="103">
        <v>0</v>
      </c>
      <c r="BH81" s="103">
        <v>0</v>
      </c>
      <c r="BI81" s="104">
        <v>0</v>
      </c>
      <c r="BJ81" s="2"/>
      <c r="BK81" s="102">
        <v>0</v>
      </c>
      <c r="BL81" s="103">
        <v>0</v>
      </c>
      <c r="BM81" s="103">
        <v>0</v>
      </c>
      <c r="BN81" s="103">
        <v>0</v>
      </c>
      <c r="BO81" s="104">
        <v>0</v>
      </c>
      <c r="BP81" s="62"/>
      <c r="BQ81" s="102">
        <v>0</v>
      </c>
      <c r="BR81" s="103">
        <v>0</v>
      </c>
      <c r="BS81" s="103">
        <v>0</v>
      </c>
      <c r="BT81" s="103">
        <v>0</v>
      </c>
      <c r="BU81" s="104">
        <v>0</v>
      </c>
      <c r="BV81" s="2"/>
      <c r="BW81" s="102">
        <v>0</v>
      </c>
      <c r="BX81" s="105">
        <v>0</v>
      </c>
      <c r="BY81" s="105">
        <v>0</v>
      </c>
      <c r="BZ81" s="105">
        <f>CA81-BY81-BX81-BW81</f>
        <v>0</v>
      </c>
      <c r="CA81" s="104">
        <v>0</v>
      </c>
      <c r="CB81" s="2"/>
      <c r="CC81" s="102">
        <v>0</v>
      </c>
      <c r="CD81" s="105">
        <v>0</v>
      </c>
      <c r="CE81" s="105">
        <v>0</v>
      </c>
      <c r="CF81" s="105">
        <v>0</v>
      </c>
      <c r="CG81" s="104">
        <v>0</v>
      </c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1:95" x14ac:dyDescent="0.2">
      <c r="A82" s="30" t="s">
        <v>16</v>
      </c>
      <c r="B82" s="111"/>
      <c r="C82" s="97" t="s">
        <v>46</v>
      </c>
      <c r="D82" s="95" t="s">
        <v>46</v>
      </c>
      <c r="E82" s="95" t="s">
        <v>46</v>
      </c>
      <c r="F82" s="95" t="s">
        <v>46</v>
      </c>
      <c r="G82" s="98">
        <v>0</v>
      </c>
      <c r="H82" s="2"/>
      <c r="I82" s="97" t="s">
        <v>46</v>
      </c>
      <c r="J82" s="95" t="s">
        <v>46</v>
      </c>
      <c r="K82" s="95" t="s">
        <v>46</v>
      </c>
      <c r="L82" s="95" t="s">
        <v>46</v>
      </c>
      <c r="M82" s="98">
        <v>0</v>
      </c>
      <c r="N82" s="2"/>
      <c r="O82" s="97" t="s">
        <v>46</v>
      </c>
      <c r="P82" s="95" t="s">
        <v>46</v>
      </c>
      <c r="Q82" s="95" t="s">
        <v>46</v>
      </c>
      <c r="R82" s="95" t="s">
        <v>46</v>
      </c>
      <c r="S82" s="98">
        <v>0</v>
      </c>
      <c r="T82" s="2"/>
      <c r="U82" s="97" t="s">
        <v>46</v>
      </c>
      <c r="V82" s="95" t="s">
        <v>46</v>
      </c>
      <c r="W82" s="95" t="s">
        <v>46</v>
      </c>
      <c r="X82" s="95" t="s">
        <v>46</v>
      </c>
      <c r="Y82" s="98">
        <v>0</v>
      </c>
      <c r="Z82" s="2"/>
      <c r="AA82" s="97" t="s">
        <v>46</v>
      </c>
      <c r="AB82" s="95" t="s">
        <v>46</v>
      </c>
      <c r="AC82" s="95" t="s">
        <v>46</v>
      </c>
      <c r="AD82" s="95" t="s">
        <v>46</v>
      </c>
      <c r="AE82" s="98">
        <v>0</v>
      </c>
      <c r="AF82" s="2"/>
      <c r="AG82" s="125" t="s">
        <v>46</v>
      </c>
      <c r="AH82" s="95" t="s">
        <v>46</v>
      </c>
      <c r="AI82" s="95" t="s">
        <v>46</v>
      </c>
      <c r="AJ82" s="95" t="s">
        <v>46</v>
      </c>
      <c r="AK82" s="98">
        <v>0</v>
      </c>
      <c r="AL82" s="2"/>
      <c r="AM82" s="125" t="s">
        <v>46</v>
      </c>
      <c r="AN82" s="95" t="s">
        <v>46</v>
      </c>
      <c r="AO82" s="95" t="s">
        <v>46</v>
      </c>
      <c r="AP82" s="95" t="s">
        <v>46</v>
      </c>
      <c r="AQ82" s="98">
        <v>0</v>
      </c>
      <c r="AR82" s="2"/>
      <c r="AS82" s="125" t="s">
        <v>46</v>
      </c>
      <c r="AT82" s="95" t="s">
        <v>46</v>
      </c>
      <c r="AU82" s="95" t="s">
        <v>46</v>
      </c>
      <c r="AV82" s="95" t="s">
        <v>46</v>
      </c>
      <c r="AW82" s="98">
        <v>0</v>
      </c>
      <c r="AX82" s="2"/>
      <c r="AY82" s="125" t="s">
        <v>46</v>
      </c>
      <c r="AZ82" s="95" t="s">
        <v>46</v>
      </c>
      <c r="BA82" s="95" t="s">
        <v>46</v>
      </c>
      <c r="BB82" s="95" t="s">
        <v>46</v>
      </c>
      <c r="BC82" s="98">
        <v>0</v>
      </c>
      <c r="BD82" s="2"/>
      <c r="BE82" s="125" t="s">
        <v>46</v>
      </c>
      <c r="BF82" s="95" t="s">
        <v>46</v>
      </c>
      <c r="BG82" s="95" t="s">
        <v>46</v>
      </c>
      <c r="BH82" s="95" t="s">
        <v>46</v>
      </c>
      <c r="BI82" s="98">
        <v>0</v>
      </c>
      <c r="BJ82" s="2"/>
      <c r="BK82" s="125" t="s">
        <v>46</v>
      </c>
      <c r="BL82" s="95" t="s">
        <v>46</v>
      </c>
      <c r="BM82" s="95" t="s">
        <v>46</v>
      </c>
      <c r="BN82" s="95" t="s">
        <v>46</v>
      </c>
      <c r="BO82" s="98">
        <v>0</v>
      </c>
      <c r="BP82" s="62"/>
      <c r="BQ82" s="125" t="s">
        <v>46</v>
      </c>
      <c r="BR82" s="106" t="s">
        <v>46</v>
      </c>
      <c r="BS82" s="106" t="s">
        <v>46</v>
      </c>
      <c r="BT82" s="106" t="s">
        <v>46</v>
      </c>
      <c r="BU82" s="98">
        <v>0</v>
      </c>
      <c r="BV82" s="2"/>
      <c r="BW82" s="125" t="s">
        <v>46</v>
      </c>
      <c r="BX82" s="106" t="s">
        <v>46</v>
      </c>
      <c r="BY82" s="106" t="s">
        <v>46</v>
      </c>
      <c r="BZ82" s="106" t="s">
        <v>46</v>
      </c>
      <c r="CA82" s="98">
        <v>0</v>
      </c>
      <c r="CB82" s="2"/>
      <c r="CC82" s="125" t="s">
        <v>46</v>
      </c>
      <c r="CD82" s="127" t="s">
        <v>46</v>
      </c>
      <c r="CE82" s="127" t="s">
        <v>46</v>
      </c>
      <c r="CF82" s="127" t="s">
        <v>46</v>
      </c>
      <c r="CG82" s="126" t="s">
        <v>46</v>
      </c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1:95" s="38" customFormat="1" x14ac:dyDescent="0.2">
      <c r="A83" s="32" t="s">
        <v>37</v>
      </c>
      <c r="B83" s="35"/>
      <c r="C83" s="36" t="s">
        <v>46</v>
      </c>
      <c r="D83" s="35" t="s">
        <v>46</v>
      </c>
      <c r="E83" s="35" t="s">
        <v>46</v>
      </c>
      <c r="F83" s="35" t="s">
        <v>46</v>
      </c>
      <c r="G83" s="37" t="s">
        <v>46</v>
      </c>
      <c r="I83" s="36" t="s">
        <v>46</v>
      </c>
      <c r="J83" s="35" t="s">
        <v>46</v>
      </c>
      <c r="K83" s="35" t="s">
        <v>46</v>
      </c>
      <c r="L83" s="35" t="s">
        <v>46</v>
      </c>
      <c r="M83" s="37" t="s">
        <v>46</v>
      </c>
      <c r="O83" s="36" t="s">
        <v>46</v>
      </c>
      <c r="P83" s="35" t="s">
        <v>46</v>
      </c>
      <c r="Q83" s="35" t="s">
        <v>46</v>
      </c>
      <c r="R83" s="35" t="s">
        <v>46</v>
      </c>
      <c r="S83" s="37" t="s">
        <v>46</v>
      </c>
      <c r="U83" s="36" t="s">
        <v>46</v>
      </c>
      <c r="V83" s="35" t="s">
        <v>46</v>
      </c>
      <c r="W83" s="35" t="s">
        <v>46</v>
      </c>
      <c r="X83" s="35" t="s">
        <v>46</v>
      </c>
      <c r="Y83" s="37" t="s">
        <v>46</v>
      </c>
      <c r="AA83" s="36" t="s">
        <v>46</v>
      </c>
      <c r="AB83" s="35" t="s">
        <v>46</v>
      </c>
      <c r="AC83" s="35" t="s">
        <v>46</v>
      </c>
      <c r="AD83" s="35" t="s">
        <v>46</v>
      </c>
      <c r="AE83" s="37" t="s">
        <v>46</v>
      </c>
      <c r="AG83" s="36" t="s">
        <v>46</v>
      </c>
      <c r="AH83" s="35" t="s">
        <v>46</v>
      </c>
      <c r="AI83" s="35" t="s">
        <v>46</v>
      </c>
      <c r="AJ83" s="35" t="s">
        <v>46</v>
      </c>
      <c r="AK83" s="37" t="s">
        <v>46</v>
      </c>
      <c r="AM83" s="36" t="s">
        <v>46</v>
      </c>
      <c r="AN83" s="35" t="s">
        <v>46</v>
      </c>
      <c r="AO83" s="35" t="s">
        <v>46</v>
      </c>
      <c r="AP83" s="35" t="s">
        <v>46</v>
      </c>
      <c r="AQ83" s="37" t="s">
        <v>46</v>
      </c>
      <c r="AS83" s="36" t="s">
        <v>46</v>
      </c>
      <c r="AT83" s="35" t="s">
        <v>46</v>
      </c>
      <c r="AU83" s="35" t="s">
        <v>46</v>
      </c>
      <c r="AV83" s="35" t="s">
        <v>46</v>
      </c>
      <c r="AW83" s="37" t="s">
        <v>46</v>
      </c>
      <c r="AY83" s="36" t="s">
        <v>46</v>
      </c>
      <c r="AZ83" s="35" t="s">
        <v>46</v>
      </c>
      <c r="BA83" s="35" t="s">
        <v>46</v>
      </c>
      <c r="BB83" s="35" t="s">
        <v>46</v>
      </c>
      <c r="BC83" s="37" t="s">
        <v>46</v>
      </c>
      <c r="BE83" s="36" t="s">
        <v>46</v>
      </c>
      <c r="BF83" s="35" t="s">
        <v>46</v>
      </c>
      <c r="BG83" s="35" t="s">
        <v>46</v>
      </c>
      <c r="BH83" s="35" t="s">
        <v>46</v>
      </c>
      <c r="BI83" s="37" t="s">
        <v>46</v>
      </c>
      <c r="BK83" s="36" t="s">
        <v>46</v>
      </c>
      <c r="BL83" s="35" t="s">
        <v>46</v>
      </c>
      <c r="BM83" s="35" t="s">
        <v>46</v>
      </c>
      <c r="BN83" s="35" t="s">
        <v>46</v>
      </c>
      <c r="BO83" s="37" t="s">
        <v>46</v>
      </c>
      <c r="BP83" s="41"/>
      <c r="BQ83" s="36" t="s">
        <v>46</v>
      </c>
      <c r="BR83" s="35" t="s">
        <v>46</v>
      </c>
      <c r="BS83" s="35" t="s">
        <v>46</v>
      </c>
      <c r="BT83" s="35" t="s">
        <v>46</v>
      </c>
      <c r="BU83" s="37" t="s">
        <v>46</v>
      </c>
      <c r="BW83" s="36" t="s">
        <v>46</v>
      </c>
      <c r="BX83" s="35" t="s">
        <v>46</v>
      </c>
      <c r="BY83" s="35" t="s">
        <v>46</v>
      </c>
      <c r="BZ83" s="35" t="s">
        <v>46</v>
      </c>
      <c r="CA83" s="37" t="s">
        <v>46</v>
      </c>
      <c r="CC83" s="36" t="s">
        <v>46</v>
      </c>
      <c r="CD83" s="50" t="s">
        <v>46</v>
      </c>
      <c r="CE83" s="50" t="s">
        <v>46</v>
      </c>
      <c r="CF83" s="50" t="s">
        <v>46</v>
      </c>
      <c r="CG83" s="37" t="s">
        <v>46</v>
      </c>
    </row>
    <row r="84" spans="1:95" x14ac:dyDescent="0.2">
      <c r="A84" s="30" t="s">
        <v>18</v>
      </c>
      <c r="B84" s="106"/>
      <c r="C84" s="116">
        <v>4</v>
      </c>
      <c r="D84" s="117">
        <v>4</v>
      </c>
      <c r="E84" s="117">
        <v>4</v>
      </c>
      <c r="F84" s="117">
        <v>4</v>
      </c>
      <c r="G84" s="98">
        <v>16</v>
      </c>
      <c r="H84" s="2"/>
      <c r="I84" s="116">
        <v>4</v>
      </c>
      <c r="J84" s="117">
        <v>4</v>
      </c>
      <c r="K84" s="117">
        <v>4</v>
      </c>
      <c r="L84" s="117">
        <v>4</v>
      </c>
      <c r="M84" s="98">
        <v>16</v>
      </c>
      <c r="N84" s="2"/>
      <c r="O84" s="116">
        <v>4</v>
      </c>
      <c r="P84" s="117">
        <v>4</v>
      </c>
      <c r="Q84" s="117">
        <v>4</v>
      </c>
      <c r="R84" s="117">
        <v>4</v>
      </c>
      <c r="S84" s="98">
        <v>16</v>
      </c>
      <c r="T84" s="2"/>
      <c r="U84" s="116">
        <v>4</v>
      </c>
      <c r="V84" s="117">
        <v>4</v>
      </c>
      <c r="W84" s="117">
        <v>4</v>
      </c>
      <c r="X84" s="117">
        <v>4</v>
      </c>
      <c r="Y84" s="98">
        <v>16</v>
      </c>
      <c r="Z84" s="2"/>
      <c r="AA84" s="116">
        <v>4</v>
      </c>
      <c r="AB84" s="117">
        <v>4</v>
      </c>
      <c r="AC84" s="117">
        <v>4</v>
      </c>
      <c r="AD84" s="117">
        <v>4</v>
      </c>
      <c r="AE84" s="98">
        <v>16</v>
      </c>
      <c r="AF84" s="2"/>
      <c r="AG84" s="116">
        <v>5</v>
      </c>
      <c r="AH84" s="117">
        <v>5</v>
      </c>
      <c r="AI84" s="117">
        <v>5</v>
      </c>
      <c r="AJ84" s="117">
        <v>5</v>
      </c>
      <c r="AK84" s="98">
        <v>20</v>
      </c>
      <c r="AL84" s="2"/>
      <c r="AM84" s="116">
        <v>6</v>
      </c>
      <c r="AN84" s="117">
        <v>6</v>
      </c>
      <c r="AO84" s="117">
        <v>6</v>
      </c>
      <c r="AP84" s="117">
        <v>6</v>
      </c>
      <c r="AQ84" s="98">
        <v>24</v>
      </c>
      <c r="AR84" s="2"/>
      <c r="AS84" s="116">
        <v>7</v>
      </c>
      <c r="AT84" s="117">
        <v>7</v>
      </c>
      <c r="AU84" s="117">
        <v>7</v>
      </c>
      <c r="AV84" s="117">
        <v>7</v>
      </c>
      <c r="AW84" s="98">
        <v>28</v>
      </c>
      <c r="AX84" s="2"/>
      <c r="AY84" s="116">
        <v>8</v>
      </c>
      <c r="AZ84" s="117">
        <v>8</v>
      </c>
      <c r="BA84" s="95">
        <v>10</v>
      </c>
      <c r="BB84" s="95">
        <v>10</v>
      </c>
      <c r="BC84" s="98">
        <v>36</v>
      </c>
      <c r="BD84" s="2"/>
      <c r="BE84" s="116">
        <v>10</v>
      </c>
      <c r="BF84" s="117">
        <v>10</v>
      </c>
      <c r="BG84" s="95">
        <v>16</v>
      </c>
      <c r="BH84" s="95">
        <v>16</v>
      </c>
      <c r="BI84" s="98">
        <v>52</v>
      </c>
      <c r="BJ84" s="2"/>
      <c r="BK84" s="116">
        <v>16</v>
      </c>
      <c r="BL84" s="117">
        <v>16</v>
      </c>
      <c r="BM84" s="95">
        <v>16</v>
      </c>
      <c r="BN84" s="95">
        <v>16</v>
      </c>
      <c r="BO84" s="119">
        <v>64</v>
      </c>
      <c r="BP84" s="62"/>
      <c r="BQ84" s="116">
        <v>20</v>
      </c>
      <c r="BR84" s="95">
        <v>20</v>
      </c>
      <c r="BS84" s="95">
        <v>20</v>
      </c>
      <c r="BT84" s="95">
        <v>20</v>
      </c>
      <c r="BU84" s="119">
        <v>80</v>
      </c>
      <c r="BV84" s="2"/>
      <c r="BW84" s="116">
        <v>24</v>
      </c>
      <c r="BX84" s="120">
        <v>24</v>
      </c>
      <c r="BY84" s="100">
        <v>24</v>
      </c>
      <c r="BZ84" s="100">
        <f>CA84-BY84-BX84-BW84</f>
        <v>24</v>
      </c>
      <c r="CA84" s="119">
        <f>68+28</f>
        <v>96</v>
      </c>
      <c r="CB84" s="2"/>
      <c r="CC84" s="116">
        <v>37</v>
      </c>
      <c r="CD84" s="100">
        <v>36</v>
      </c>
      <c r="CE84" s="100">
        <v>36</v>
      </c>
      <c r="CF84" s="100">
        <f>CG84-CE84-CD84-CC84</f>
        <v>40</v>
      </c>
      <c r="CG84" s="119">
        <v>149</v>
      </c>
      <c r="CH84" s="2"/>
      <c r="CI84" s="2"/>
      <c r="CJ84" s="2"/>
      <c r="CK84" s="2"/>
      <c r="CL84" s="2"/>
      <c r="CM84" s="2"/>
      <c r="CN84" s="2"/>
      <c r="CO84" s="2"/>
      <c r="CP84" s="115"/>
      <c r="CQ84" s="115"/>
    </row>
    <row r="85" spans="1:95" x14ac:dyDescent="0.2">
      <c r="A85" s="51" t="s">
        <v>107</v>
      </c>
      <c r="B85" s="88"/>
      <c r="C85" s="102">
        <v>-4</v>
      </c>
      <c r="D85" s="103">
        <v>-4</v>
      </c>
      <c r="E85" s="103">
        <v>-4</v>
      </c>
      <c r="F85" s="103">
        <v>-4</v>
      </c>
      <c r="G85" s="104">
        <v>-16</v>
      </c>
      <c r="H85" s="2"/>
      <c r="I85" s="102">
        <v>-4</v>
      </c>
      <c r="J85" s="103">
        <v>-4</v>
      </c>
      <c r="K85" s="103">
        <v>-4</v>
      </c>
      <c r="L85" s="103">
        <v>-4</v>
      </c>
      <c r="M85" s="104">
        <v>-16</v>
      </c>
      <c r="N85" s="2"/>
      <c r="O85" s="102">
        <v>-4</v>
      </c>
      <c r="P85" s="103">
        <v>-4</v>
      </c>
      <c r="Q85" s="103">
        <v>-4</v>
      </c>
      <c r="R85" s="103">
        <v>-4</v>
      </c>
      <c r="S85" s="104">
        <v>-16</v>
      </c>
      <c r="T85" s="2"/>
      <c r="U85" s="102">
        <v>-4</v>
      </c>
      <c r="V85" s="103">
        <v>-4</v>
      </c>
      <c r="W85" s="103">
        <v>-4</v>
      </c>
      <c r="X85" s="103">
        <v>-4</v>
      </c>
      <c r="Y85" s="104">
        <v>-16</v>
      </c>
      <c r="Z85" s="2"/>
      <c r="AA85" s="102">
        <v>-4</v>
      </c>
      <c r="AB85" s="103">
        <v>-4</v>
      </c>
      <c r="AC85" s="103">
        <v>-4</v>
      </c>
      <c r="AD85" s="103">
        <v>-4</v>
      </c>
      <c r="AE85" s="104">
        <v>-16</v>
      </c>
      <c r="AF85" s="2"/>
      <c r="AG85" s="102">
        <v>-5</v>
      </c>
      <c r="AH85" s="103">
        <v>-5</v>
      </c>
      <c r="AI85" s="103">
        <v>-5</v>
      </c>
      <c r="AJ85" s="103">
        <v>-5</v>
      </c>
      <c r="AK85" s="104">
        <v>-20</v>
      </c>
      <c r="AL85" s="2"/>
      <c r="AM85" s="102">
        <v>-6</v>
      </c>
      <c r="AN85" s="103">
        <v>-6</v>
      </c>
      <c r="AO85" s="103">
        <v>-6</v>
      </c>
      <c r="AP85" s="103">
        <v>-6</v>
      </c>
      <c r="AQ85" s="104">
        <v>-24</v>
      </c>
      <c r="AR85" s="95"/>
      <c r="AS85" s="102">
        <v>-7</v>
      </c>
      <c r="AT85" s="103">
        <v>-7</v>
      </c>
      <c r="AU85" s="103">
        <v>-7</v>
      </c>
      <c r="AV85" s="103">
        <v>-7</v>
      </c>
      <c r="AW85" s="104">
        <v>-28</v>
      </c>
      <c r="AX85" s="95"/>
      <c r="AY85" s="102">
        <v>-8</v>
      </c>
      <c r="AZ85" s="103">
        <v>-8</v>
      </c>
      <c r="BA85" s="103">
        <v>-10</v>
      </c>
      <c r="BB85" s="103">
        <v>-10</v>
      </c>
      <c r="BC85" s="104">
        <v>-36</v>
      </c>
      <c r="BD85" s="95"/>
      <c r="BE85" s="102">
        <v>-10</v>
      </c>
      <c r="BF85" s="103">
        <v>-10</v>
      </c>
      <c r="BG85" s="103">
        <v>-16</v>
      </c>
      <c r="BH85" s="103">
        <v>-16</v>
      </c>
      <c r="BI85" s="104">
        <v>-52</v>
      </c>
      <c r="BJ85" s="95"/>
      <c r="BK85" s="102">
        <v>-16</v>
      </c>
      <c r="BL85" s="103">
        <v>-16</v>
      </c>
      <c r="BM85" s="103">
        <v>-16</v>
      </c>
      <c r="BN85" s="103">
        <v>-16</v>
      </c>
      <c r="BO85" s="104">
        <v>-64</v>
      </c>
      <c r="BP85" s="62"/>
      <c r="BQ85" s="102">
        <v>-20</v>
      </c>
      <c r="BR85" s="103">
        <v>-20</v>
      </c>
      <c r="BS85" s="103">
        <v>-20</v>
      </c>
      <c r="BT85" s="103">
        <v>-20</v>
      </c>
      <c r="BU85" s="104">
        <v>-80</v>
      </c>
      <c r="BV85" s="2"/>
      <c r="BW85" s="102">
        <f>-BW84</f>
        <v>-24</v>
      </c>
      <c r="BX85" s="105">
        <f>-BX84</f>
        <v>-24</v>
      </c>
      <c r="BY85" s="105">
        <f>-BY84</f>
        <v>-24</v>
      </c>
      <c r="BZ85" s="105">
        <f>-BZ84</f>
        <v>-24</v>
      </c>
      <c r="CA85" s="104">
        <f>-CA84</f>
        <v>-96</v>
      </c>
      <c r="CB85" s="2"/>
      <c r="CC85" s="102">
        <f>-CC84</f>
        <v>-37</v>
      </c>
      <c r="CD85" s="105">
        <f>-CD84</f>
        <v>-36</v>
      </c>
      <c r="CE85" s="105">
        <f>-CE84</f>
        <v>-36</v>
      </c>
      <c r="CF85" s="105">
        <f>-CF84</f>
        <v>-40</v>
      </c>
      <c r="CG85" s="104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1:95" s="38" customFormat="1" ht="10.8" thickBot="1" x14ac:dyDescent="0.25">
      <c r="A86" s="43" t="s">
        <v>37</v>
      </c>
      <c r="B86" s="35"/>
      <c r="C86" s="44" t="s">
        <v>46</v>
      </c>
      <c r="D86" s="45" t="s">
        <v>46</v>
      </c>
      <c r="E86" s="45" t="s">
        <v>46</v>
      </c>
      <c r="F86" s="45" t="s">
        <v>46</v>
      </c>
      <c r="G86" s="46" t="s">
        <v>46</v>
      </c>
      <c r="I86" s="44" t="s">
        <v>46</v>
      </c>
      <c r="J86" s="45" t="s">
        <v>46</v>
      </c>
      <c r="K86" s="45" t="s">
        <v>46</v>
      </c>
      <c r="L86" s="45" t="s">
        <v>46</v>
      </c>
      <c r="M86" s="46" t="s">
        <v>46</v>
      </c>
      <c r="O86" s="44" t="s">
        <v>46</v>
      </c>
      <c r="P86" s="45" t="s">
        <v>46</v>
      </c>
      <c r="Q86" s="45" t="s">
        <v>46</v>
      </c>
      <c r="R86" s="45" t="s">
        <v>46</v>
      </c>
      <c r="S86" s="46" t="s">
        <v>46</v>
      </c>
      <c r="U86" s="44" t="s">
        <v>46</v>
      </c>
      <c r="V86" s="45" t="s">
        <v>46</v>
      </c>
      <c r="W86" s="45" t="s">
        <v>46</v>
      </c>
      <c r="X86" s="45" t="s">
        <v>46</v>
      </c>
      <c r="Y86" s="46" t="s">
        <v>46</v>
      </c>
      <c r="AA86" s="44" t="s">
        <v>46</v>
      </c>
      <c r="AB86" s="45" t="s">
        <v>46</v>
      </c>
      <c r="AC86" s="45" t="s">
        <v>46</v>
      </c>
      <c r="AD86" s="45" t="s">
        <v>46</v>
      </c>
      <c r="AE86" s="46" t="s">
        <v>46</v>
      </c>
      <c r="AG86" s="44" t="s">
        <v>46</v>
      </c>
      <c r="AH86" s="45" t="s">
        <v>46</v>
      </c>
      <c r="AI86" s="45" t="s">
        <v>46</v>
      </c>
      <c r="AJ86" s="45" t="s">
        <v>46</v>
      </c>
      <c r="AK86" s="46" t="s">
        <v>46</v>
      </c>
      <c r="AM86" s="44" t="s">
        <v>46</v>
      </c>
      <c r="AN86" s="45" t="s">
        <v>46</v>
      </c>
      <c r="AO86" s="45" t="s">
        <v>46</v>
      </c>
      <c r="AP86" s="45" t="s">
        <v>46</v>
      </c>
      <c r="AQ86" s="46" t="s">
        <v>46</v>
      </c>
      <c r="AS86" s="44" t="s">
        <v>46</v>
      </c>
      <c r="AT86" s="45" t="s">
        <v>46</v>
      </c>
      <c r="AU86" s="45" t="s">
        <v>46</v>
      </c>
      <c r="AV86" s="45" t="s">
        <v>46</v>
      </c>
      <c r="AW86" s="46" t="s">
        <v>46</v>
      </c>
      <c r="AY86" s="44" t="s">
        <v>46</v>
      </c>
      <c r="AZ86" s="45" t="s">
        <v>46</v>
      </c>
      <c r="BA86" s="45" t="s">
        <v>46</v>
      </c>
      <c r="BB86" s="45"/>
      <c r="BC86" s="46" t="s">
        <v>46</v>
      </c>
      <c r="BE86" s="44" t="s">
        <v>46</v>
      </c>
      <c r="BF86" s="45" t="s">
        <v>46</v>
      </c>
      <c r="BG86" s="45" t="s">
        <v>46</v>
      </c>
      <c r="BH86" s="45" t="s">
        <v>46</v>
      </c>
      <c r="BI86" s="46" t="s">
        <v>46</v>
      </c>
      <c r="BK86" s="44" t="s">
        <v>46</v>
      </c>
      <c r="BL86" s="45" t="s">
        <v>46</v>
      </c>
      <c r="BM86" s="45" t="s">
        <v>46</v>
      </c>
      <c r="BN86" s="45" t="s">
        <v>46</v>
      </c>
      <c r="BO86" s="46" t="s">
        <v>46</v>
      </c>
      <c r="BP86" s="41"/>
      <c r="BQ86" s="44" t="s">
        <v>46</v>
      </c>
      <c r="BR86" s="45" t="s">
        <v>46</v>
      </c>
      <c r="BS86" s="45" t="s">
        <v>46</v>
      </c>
      <c r="BT86" s="45" t="s">
        <v>46</v>
      </c>
      <c r="BU86" s="46" t="s">
        <v>46</v>
      </c>
      <c r="BW86" s="44" t="s">
        <v>46</v>
      </c>
      <c r="BX86" s="45" t="s">
        <v>46</v>
      </c>
      <c r="BY86" s="45" t="s">
        <v>46</v>
      </c>
      <c r="BZ86" s="45" t="s">
        <v>46</v>
      </c>
      <c r="CA86" s="46" t="s">
        <v>46</v>
      </c>
      <c r="CC86" s="44" t="s">
        <v>46</v>
      </c>
      <c r="CD86" s="45" t="s">
        <v>46</v>
      </c>
      <c r="CE86" s="45" t="s">
        <v>46</v>
      </c>
      <c r="CF86" s="45" t="s">
        <v>46</v>
      </c>
      <c r="CG86" s="46" t="s">
        <v>46</v>
      </c>
    </row>
    <row r="87" spans="1:95" ht="5.25" customHeight="1" x14ac:dyDescent="0.2">
      <c r="A87" s="2"/>
      <c r="B87" s="106"/>
      <c r="C87" s="106"/>
      <c r="D87" s="106"/>
      <c r="E87" s="106"/>
      <c r="F87" s="106"/>
      <c r="G87" s="106"/>
      <c r="H87" s="2"/>
      <c r="I87" s="106"/>
      <c r="J87" s="106"/>
      <c r="K87" s="106"/>
      <c r="L87" s="106"/>
      <c r="M87" s="106"/>
      <c r="N87" s="2"/>
      <c r="O87" s="106"/>
      <c r="P87" s="106"/>
      <c r="Q87" s="106"/>
      <c r="R87" s="106"/>
      <c r="S87" s="106"/>
      <c r="T87" s="2"/>
      <c r="U87" s="106"/>
      <c r="V87" s="106"/>
      <c r="W87" s="106"/>
      <c r="X87" s="106"/>
      <c r="Y87" s="106"/>
      <c r="Z87" s="2"/>
      <c r="AA87" s="106"/>
      <c r="AB87" s="106"/>
      <c r="AC87" s="106"/>
      <c r="AD87" s="106"/>
      <c r="AE87" s="106"/>
      <c r="AF87" s="2"/>
      <c r="AG87" s="106"/>
      <c r="AH87" s="106"/>
      <c r="AI87" s="106"/>
      <c r="AJ87" s="106"/>
      <c r="AK87" s="106"/>
      <c r="AL87" s="2"/>
      <c r="AM87" s="106"/>
      <c r="AN87" s="106"/>
      <c r="AO87" s="106"/>
      <c r="AP87" s="106"/>
      <c r="AQ87" s="106"/>
      <c r="AR87" s="2"/>
      <c r="AS87" s="106"/>
      <c r="AT87" s="106"/>
      <c r="AU87" s="106"/>
      <c r="AV87" s="106"/>
      <c r="AW87" s="106"/>
      <c r="AX87" s="2"/>
      <c r="AY87" s="106"/>
      <c r="AZ87" s="106"/>
      <c r="BA87" s="106"/>
      <c r="BB87" s="106"/>
      <c r="BC87" s="106"/>
      <c r="BD87" s="2"/>
      <c r="BE87" s="106"/>
      <c r="BF87" s="106"/>
      <c r="BG87" s="106"/>
      <c r="BH87" s="106"/>
      <c r="BI87" s="106"/>
      <c r="BJ87" s="2"/>
      <c r="BK87" s="106"/>
      <c r="BL87" s="106"/>
      <c r="BM87" s="106"/>
      <c r="BN87" s="106"/>
      <c r="BO87" s="106"/>
      <c r="BP87" s="62"/>
      <c r="BQ87" s="106"/>
      <c r="BR87" s="106"/>
      <c r="BS87" s="106"/>
      <c r="BT87" s="106"/>
      <c r="BU87" s="106"/>
      <c r="BV87" s="2"/>
      <c r="BW87" s="106"/>
      <c r="BX87" s="106"/>
      <c r="BY87" s="106"/>
      <c r="BZ87" s="106"/>
      <c r="CA87" s="106"/>
      <c r="CB87" s="2"/>
      <c r="CC87" s="106"/>
      <c r="CD87" s="106"/>
      <c r="CE87" s="106"/>
      <c r="CF87" s="106"/>
      <c r="CG87" s="106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1:95" x14ac:dyDescent="0.2">
      <c r="A88" s="128" t="s">
        <v>47</v>
      </c>
      <c r="B88" s="61"/>
      <c r="C88" s="163" t="s">
        <v>113</v>
      </c>
      <c r="D88" s="164"/>
      <c r="E88" s="164"/>
      <c r="F88" s="164"/>
      <c r="G88" s="129" t="s">
        <v>49</v>
      </c>
      <c r="H88" s="61"/>
      <c r="I88" s="163" t="s">
        <v>113</v>
      </c>
      <c r="J88" s="164"/>
      <c r="K88" s="164"/>
      <c r="L88" s="164"/>
      <c r="M88" s="129" t="s">
        <v>49</v>
      </c>
      <c r="N88" s="2"/>
      <c r="O88" s="53" t="s">
        <v>48</v>
      </c>
      <c r="P88" s="130"/>
      <c r="Q88" s="130"/>
      <c r="R88" s="130"/>
      <c r="S88" s="129" t="s">
        <v>49</v>
      </c>
      <c r="T88" s="2"/>
      <c r="U88" s="53" t="s">
        <v>48</v>
      </c>
      <c r="V88" s="60"/>
      <c r="W88" s="60"/>
      <c r="X88" s="60"/>
      <c r="Y88" s="129" t="s">
        <v>49</v>
      </c>
      <c r="Z88" s="2"/>
      <c r="AA88" s="53" t="s">
        <v>48</v>
      </c>
      <c r="AB88" s="60"/>
      <c r="AC88" s="60"/>
      <c r="AD88" s="60"/>
      <c r="AE88" s="129" t="s">
        <v>49</v>
      </c>
      <c r="AF88" s="2"/>
      <c r="AG88" s="53" t="s">
        <v>48</v>
      </c>
      <c r="AH88" s="60"/>
      <c r="AI88" s="60"/>
      <c r="AJ88" s="60"/>
      <c r="AK88" s="129" t="s">
        <v>49</v>
      </c>
      <c r="AL88" s="2"/>
      <c r="AM88" s="53" t="s">
        <v>48</v>
      </c>
      <c r="AN88" s="60"/>
      <c r="AO88" s="60"/>
      <c r="AP88" s="60"/>
      <c r="AQ88" s="129" t="s">
        <v>49</v>
      </c>
      <c r="AR88" s="2"/>
      <c r="AS88" s="53" t="s">
        <v>48</v>
      </c>
      <c r="AT88" s="60"/>
      <c r="AU88" s="60"/>
      <c r="AV88" s="60"/>
      <c r="AW88" s="129" t="s">
        <v>49</v>
      </c>
      <c r="AX88" s="2"/>
      <c r="AY88" s="53" t="s">
        <v>48</v>
      </c>
      <c r="AZ88" s="60"/>
      <c r="BA88" s="60"/>
      <c r="BB88" s="60"/>
      <c r="BC88" s="129" t="s">
        <v>49</v>
      </c>
      <c r="BD88" s="2"/>
      <c r="BE88" s="53" t="s">
        <v>48</v>
      </c>
      <c r="BF88" s="60"/>
      <c r="BG88" s="60"/>
      <c r="BH88" s="60"/>
      <c r="BI88" s="131" t="s">
        <v>49</v>
      </c>
      <c r="BJ88" s="2"/>
      <c r="BK88" s="53" t="s">
        <v>48</v>
      </c>
      <c r="BL88" s="60"/>
      <c r="BM88" s="60"/>
      <c r="BN88" s="60"/>
      <c r="BO88" s="131" t="s">
        <v>49</v>
      </c>
      <c r="BP88" s="62"/>
      <c r="BQ88" s="58" t="s">
        <v>48</v>
      </c>
      <c r="BR88" s="60"/>
      <c r="BS88" s="60"/>
      <c r="BT88" s="60"/>
      <c r="BU88" s="131" t="s">
        <v>49</v>
      </c>
      <c r="BV88" s="2"/>
      <c r="BW88" s="58" t="s">
        <v>48</v>
      </c>
      <c r="BX88" s="60"/>
      <c r="BY88" s="60"/>
      <c r="BZ88" s="60"/>
      <c r="CA88" s="131" t="s">
        <v>49</v>
      </c>
      <c r="CB88" s="2"/>
      <c r="CC88" s="58" t="s">
        <v>48</v>
      </c>
      <c r="CD88" s="58"/>
      <c r="CE88" s="58"/>
      <c r="CF88" s="58"/>
      <c r="CG88" s="58" t="s">
        <v>49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1:95" x14ac:dyDescent="0.2">
      <c r="A89" s="132" t="s">
        <v>50</v>
      </c>
      <c r="B89" s="133"/>
      <c r="C89" s="134">
        <v>8.1665333333333336</v>
      </c>
      <c r="D89" s="133">
        <v>8.1060507771809895</v>
      </c>
      <c r="E89" s="133">
        <v>7.9140484938351365</v>
      </c>
      <c r="F89" s="133">
        <v>7.8870697139046397</v>
      </c>
      <c r="G89" s="135">
        <v>8.0184255795635249</v>
      </c>
      <c r="H89" s="133"/>
      <c r="I89" s="134">
        <v>7.9558253783574182</v>
      </c>
      <c r="J89" s="133">
        <v>7.9401454137689278</v>
      </c>
      <c r="K89" s="133">
        <v>8.0592052068679809</v>
      </c>
      <c r="L89" s="133">
        <v>8.9353608465498766</v>
      </c>
      <c r="M89" s="135">
        <v>8.2226342113860511</v>
      </c>
      <c r="N89" s="133"/>
      <c r="O89" s="136">
        <v>8.9463333333333335</v>
      </c>
      <c r="P89" s="137">
        <v>8.8413000000000004</v>
      </c>
      <c r="Q89" s="133">
        <v>8.7353000000000005</v>
      </c>
      <c r="R89" s="133">
        <v>8.3948999999999998</v>
      </c>
      <c r="S89" s="135">
        <v>8.7294583333333335</v>
      </c>
      <c r="T89" s="2"/>
      <c r="U89" s="136">
        <v>8.1052</v>
      </c>
      <c r="V89" s="137">
        <v>7.91</v>
      </c>
      <c r="W89" s="137">
        <v>7.96</v>
      </c>
      <c r="X89" s="138">
        <v>8.0500000000000007</v>
      </c>
      <c r="Y89" s="135">
        <v>8.0062999999999995</v>
      </c>
      <c r="Z89" s="2"/>
      <c r="AA89" s="136">
        <v>7.82</v>
      </c>
      <c r="AB89" s="137">
        <v>7.82</v>
      </c>
      <c r="AC89" s="137">
        <v>7.77</v>
      </c>
      <c r="AD89" s="138">
        <v>7.76</v>
      </c>
      <c r="AE89" s="135">
        <v>7.7925000000000004</v>
      </c>
      <c r="AF89" s="2"/>
      <c r="AG89" s="136">
        <v>7.59</v>
      </c>
      <c r="AH89" s="137">
        <v>7.56</v>
      </c>
      <c r="AI89" s="137">
        <v>7.39</v>
      </c>
      <c r="AJ89" s="138">
        <v>7.36</v>
      </c>
      <c r="AK89" s="135">
        <v>7.4749999999999996</v>
      </c>
      <c r="AL89" s="2"/>
      <c r="AM89" s="136">
        <v>7.43</v>
      </c>
      <c r="AN89" s="137">
        <v>7.62</v>
      </c>
      <c r="AO89" s="137">
        <v>7.93</v>
      </c>
      <c r="AP89" s="137">
        <v>8.24</v>
      </c>
      <c r="AQ89" s="135">
        <v>7.8049999999999997</v>
      </c>
      <c r="AR89" s="2"/>
      <c r="AS89" s="136">
        <v>8.35</v>
      </c>
      <c r="AT89" s="137">
        <v>8.2074999999999996</v>
      </c>
      <c r="AU89" s="137">
        <v>8.27</v>
      </c>
      <c r="AV89" s="137">
        <v>8.59</v>
      </c>
      <c r="AW89" s="135">
        <v>8.3543749999999992</v>
      </c>
      <c r="AX89" s="2"/>
      <c r="AY89" s="136">
        <v>8.73</v>
      </c>
      <c r="AZ89" s="137">
        <v>8.5500000000000007</v>
      </c>
      <c r="BA89" s="137">
        <v>9.14</v>
      </c>
      <c r="BB89" s="137">
        <v>9.34</v>
      </c>
      <c r="BC89" s="135">
        <v>8.9400000000000013</v>
      </c>
      <c r="BD89" s="2"/>
      <c r="BE89" s="136">
        <v>9.5299999999999994</v>
      </c>
      <c r="BF89" s="137">
        <v>9.32</v>
      </c>
      <c r="BG89" s="137">
        <v>9.2899999999999991</v>
      </c>
      <c r="BH89" s="138">
        <v>9.0356000000000005</v>
      </c>
      <c r="BI89" s="138">
        <v>9.2939000000000007</v>
      </c>
      <c r="BJ89" s="2"/>
      <c r="BK89" s="136">
        <v>8.98</v>
      </c>
      <c r="BL89" s="137">
        <v>9.3699999999999992</v>
      </c>
      <c r="BM89" s="137">
        <v>9.3488000000000007</v>
      </c>
      <c r="BN89" s="138">
        <v>9.6199999999999992</v>
      </c>
      <c r="BO89" s="138">
        <v>9.3297000000000008</v>
      </c>
      <c r="BP89" s="62"/>
      <c r="BQ89" s="136">
        <v>9.6300000000000008</v>
      </c>
      <c r="BR89" s="137">
        <v>9.5500000000000007</v>
      </c>
      <c r="BS89" s="137">
        <v>9.58</v>
      </c>
      <c r="BT89" s="138">
        <v>9.6300000000000008</v>
      </c>
      <c r="BU89" s="135">
        <v>9.6</v>
      </c>
      <c r="BV89" s="2"/>
      <c r="BW89" s="136">
        <v>9.74</v>
      </c>
      <c r="BX89" s="137">
        <v>9.7200000000000006</v>
      </c>
      <c r="BY89" s="137">
        <v>9.85</v>
      </c>
      <c r="BZ89" s="138">
        <v>10.09</v>
      </c>
      <c r="CA89" s="135">
        <f>AVERAGE(BW89:BZ89)</f>
        <v>9.8500000000000014</v>
      </c>
      <c r="CB89" s="2"/>
      <c r="CC89" s="136">
        <v>10.46</v>
      </c>
      <c r="CD89" s="137">
        <v>11.02</v>
      </c>
      <c r="CE89" s="137">
        <v>10.67</v>
      </c>
      <c r="CF89" s="138">
        <v>10.76</v>
      </c>
      <c r="CG89" s="135">
        <v>10.73</v>
      </c>
      <c r="CH89" s="2"/>
      <c r="CI89" s="59"/>
      <c r="CJ89" s="2"/>
      <c r="CK89" s="2"/>
      <c r="CL89" s="2"/>
      <c r="CM89" s="2"/>
      <c r="CN89" s="2"/>
      <c r="CO89" s="2"/>
      <c r="CP89" s="2"/>
      <c r="CQ89" s="2"/>
    </row>
    <row r="90" spans="1:95" x14ac:dyDescent="0.2">
      <c r="A90" s="139" t="s">
        <v>51</v>
      </c>
      <c r="B90" s="133"/>
      <c r="C90" s="140">
        <v>6.2326666666666668</v>
      </c>
      <c r="D90" s="145">
        <v>6.0111888876415422</v>
      </c>
      <c r="E90" s="145">
        <v>5.7593878847494109</v>
      </c>
      <c r="F90" s="145">
        <v>5.4405668540684857</v>
      </c>
      <c r="G90" s="141">
        <v>5.8609525732815264</v>
      </c>
      <c r="H90" s="133"/>
      <c r="I90" s="140">
        <v>5.3077412660992342</v>
      </c>
      <c r="J90" s="145">
        <v>5.0831492030775411</v>
      </c>
      <c r="K90" s="145">
        <v>5.3690652283216735</v>
      </c>
      <c r="L90" s="145">
        <v>6.796072291133715</v>
      </c>
      <c r="M90" s="141">
        <v>5.6390069971580408</v>
      </c>
      <c r="N90" s="133"/>
      <c r="O90" s="140">
        <v>6.8715000000000002</v>
      </c>
      <c r="P90" s="145">
        <v>6.4992000000000001</v>
      </c>
      <c r="Q90" s="145">
        <v>6.1093000000000002</v>
      </c>
      <c r="R90" s="145">
        <v>5.6792999999999996</v>
      </c>
      <c r="S90" s="141">
        <v>6.2898250000000004</v>
      </c>
      <c r="T90" s="2"/>
      <c r="U90" s="140">
        <v>5.8583999999999996</v>
      </c>
      <c r="V90" s="145">
        <v>6.22</v>
      </c>
      <c r="W90" s="145">
        <v>6.17</v>
      </c>
      <c r="X90" s="142">
        <v>5.93</v>
      </c>
      <c r="Y90" s="141">
        <v>6.0445999999999991</v>
      </c>
      <c r="Z90" s="2"/>
      <c r="AA90" s="140">
        <v>5.73</v>
      </c>
      <c r="AB90" s="145">
        <v>5.44</v>
      </c>
      <c r="AC90" s="145">
        <v>5.5</v>
      </c>
      <c r="AD90" s="142">
        <v>5.76</v>
      </c>
      <c r="AE90" s="141">
        <v>5.6074999999999999</v>
      </c>
      <c r="AF90" s="2"/>
      <c r="AG90" s="140">
        <v>5.79</v>
      </c>
      <c r="AH90" s="145">
        <v>5.89</v>
      </c>
      <c r="AI90" s="145">
        <v>5.91</v>
      </c>
      <c r="AJ90" s="142">
        <v>5.68</v>
      </c>
      <c r="AK90" s="141">
        <v>5.8174999999999999</v>
      </c>
      <c r="AL90" s="2"/>
      <c r="AM90" s="140">
        <v>5.63</v>
      </c>
      <c r="AN90" s="145">
        <v>5.83</v>
      </c>
      <c r="AO90" s="145">
        <v>5.99</v>
      </c>
      <c r="AP90" s="145">
        <v>6.06</v>
      </c>
      <c r="AQ90" s="141">
        <v>5.8775000000000004</v>
      </c>
      <c r="AR90" s="2"/>
      <c r="AS90" s="140">
        <v>6.09</v>
      </c>
      <c r="AT90" s="145">
        <v>5.9854000000000003</v>
      </c>
      <c r="AU90" s="145">
        <v>6.24</v>
      </c>
      <c r="AV90" s="145">
        <v>6.88</v>
      </c>
      <c r="AW90" s="141">
        <v>6.2988499999999998</v>
      </c>
      <c r="AX90" s="2"/>
      <c r="AY90" s="140">
        <v>7.75</v>
      </c>
      <c r="AZ90" s="145">
        <v>7.75</v>
      </c>
      <c r="BA90" s="145">
        <v>8.2200000000000006</v>
      </c>
      <c r="BB90" s="145">
        <v>8.5299999999999994</v>
      </c>
      <c r="BC90" s="141">
        <v>8.0625</v>
      </c>
      <c r="BD90" s="2"/>
      <c r="BE90" s="140">
        <v>8.6486000000000001</v>
      </c>
      <c r="BF90" s="145">
        <v>8.2556999999999992</v>
      </c>
      <c r="BG90" s="145">
        <v>8.3219999999999992</v>
      </c>
      <c r="BH90" s="142">
        <v>8.3793000000000006</v>
      </c>
      <c r="BI90" s="142">
        <v>8.4013999999999989</v>
      </c>
      <c r="BJ90" s="2"/>
      <c r="BK90" s="140">
        <v>8.44</v>
      </c>
      <c r="BL90" s="145">
        <v>8.52</v>
      </c>
      <c r="BM90" s="145">
        <v>7.9634</v>
      </c>
      <c r="BN90" s="142">
        <v>8.16</v>
      </c>
      <c r="BO90" s="142">
        <v>8.2708499999999994</v>
      </c>
      <c r="BP90" s="62"/>
      <c r="BQ90" s="140">
        <v>7.84</v>
      </c>
      <c r="BR90" s="145">
        <v>8.02</v>
      </c>
      <c r="BS90" s="145">
        <v>8.24</v>
      </c>
      <c r="BT90" s="142">
        <v>8.44</v>
      </c>
      <c r="BU90" s="141">
        <v>8.1300000000000008</v>
      </c>
      <c r="BV90" s="2"/>
      <c r="BW90" s="140">
        <v>8.59</v>
      </c>
      <c r="BX90" s="145">
        <v>8.65</v>
      </c>
      <c r="BY90" s="145">
        <v>8.86</v>
      </c>
      <c r="BZ90" s="142">
        <v>9.11</v>
      </c>
      <c r="CA90" s="141">
        <f>AVERAGE(BW90:BZ90)</f>
        <v>8.8025000000000002</v>
      </c>
      <c r="CB90" s="2"/>
      <c r="CC90" s="140">
        <v>9.49</v>
      </c>
      <c r="CD90" s="145">
        <v>10.02</v>
      </c>
      <c r="CE90" s="145">
        <v>9.1300000000000008</v>
      </c>
      <c r="CF90" s="142">
        <v>9.02</v>
      </c>
      <c r="CG90" s="141">
        <v>9.41</v>
      </c>
      <c r="CH90" s="2"/>
      <c r="CI90" s="59"/>
      <c r="CJ90" s="2"/>
      <c r="CK90" s="2"/>
      <c r="CL90" s="2"/>
      <c r="CM90" s="2"/>
      <c r="CN90" s="2"/>
      <c r="CO90" s="2"/>
      <c r="CP90" s="2"/>
      <c r="CQ90" s="2"/>
    </row>
    <row r="91" spans="1:95" ht="5.25" customHeight="1" x14ac:dyDescent="0.2">
      <c r="A91" s="2"/>
      <c r="B91" s="106"/>
      <c r="C91" s="106"/>
      <c r="D91" s="106"/>
      <c r="E91" s="106"/>
      <c r="F91" s="106"/>
      <c r="G91" s="106"/>
      <c r="H91" s="2"/>
      <c r="I91" s="106"/>
      <c r="J91" s="106"/>
      <c r="K91" s="106"/>
      <c r="L91" s="106"/>
      <c r="M91" s="106"/>
      <c r="N91" s="2"/>
      <c r="O91" s="106"/>
      <c r="P91" s="106"/>
      <c r="Q91" s="106"/>
      <c r="R91" s="106"/>
      <c r="S91" s="106"/>
      <c r="T91" s="2"/>
      <c r="U91" s="106"/>
      <c r="V91" s="106"/>
      <c r="W91" s="106"/>
      <c r="X91" s="106"/>
      <c r="Y91" s="106"/>
      <c r="Z91" s="2"/>
      <c r="AA91" s="106"/>
      <c r="AB91" s="106"/>
      <c r="AC91" s="106"/>
      <c r="AD91" s="106"/>
      <c r="AE91" s="106"/>
      <c r="AF91" s="2"/>
      <c r="AG91" s="106"/>
      <c r="AH91" s="106"/>
      <c r="AI91" s="106"/>
      <c r="AJ91" s="106"/>
      <c r="AK91" s="106"/>
      <c r="AL91" s="2"/>
      <c r="AM91" s="106"/>
      <c r="AN91" s="106"/>
      <c r="AO91" s="106"/>
      <c r="AP91" s="106"/>
      <c r="AQ91" s="106"/>
      <c r="AR91" s="2"/>
      <c r="AS91" s="106"/>
      <c r="AT91" s="106"/>
      <c r="AU91" s="106"/>
      <c r="AV91" s="106"/>
      <c r="AW91" s="106"/>
      <c r="AX91" s="2"/>
      <c r="AY91" s="106"/>
      <c r="AZ91" s="106"/>
      <c r="BA91" s="106"/>
      <c r="BB91" s="106"/>
      <c r="BC91" s="106"/>
      <c r="BD91" s="2"/>
      <c r="BE91" s="106"/>
      <c r="BF91" s="106"/>
      <c r="BG91" s="106"/>
      <c r="BH91" s="106"/>
      <c r="BI91" s="106"/>
      <c r="BJ91" s="2"/>
      <c r="BK91" s="106"/>
      <c r="BL91" s="106"/>
      <c r="BM91" s="106"/>
      <c r="BN91" s="106"/>
      <c r="BO91" s="106"/>
      <c r="BP91" s="62"/>
      <c r="BQ91" s="106"/>
      <c r="BR91" s="106"/>
      <c r="BS91" s="106"/>
      <c r="BT91" s="106"/>
      <c r="BU91" s="106"/>
      <c r="BV91" s="2"/>
      <c r="BW91" s="106"/>
      <c r="BX91" s="106"/>
      <c r="BY91" s="106"/>
      <c r="BZ91" s="106"/>
      <c r="CA91" s="106"/>
      <c r="CB91" s="2"/>
      <c r="CC91" s="106"/>
      <c r="CD91" s="106"/>
      <c r="CE91" s="106"/>
      <c r="CF91" s="106"/>
      <c r="CG91" s="106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95" ht="11.25" customHeight="1" x14ac:dyDescent="0.2">
      <c r="A92" s="2" t="s">
        <v>112</v>
      </c>
      <c r="B92" s="106"/>
      <c r="C92" s="106"/>
      <c r="D92" s="106"/>
      <c r="E92" s="106"/>
      <c r="F92" s="106"/>
      <c r="G92" s="106"/>
      <c r="H92" s="2"/>
      <c r="I92" s="106"/>
      <c r="J92" s="106"/>
      <c r="K92" s="106"/>
      <c r="L92" s="106"/>
      <c r="M92" s="106"/>
      <c r="N92" s="2"/>
      <c r="O92" s="106"/>
      <c r="P92" s="106"/>
      <c r="Q92" s="106"/>
      <c r="R92" s="106"/>
      <c r="S92" s="106"/>
      <c r="T92" s="2"/>
      <c r="U92" s="106"/>
      <c r="V92" s="106"/>
      <c r="W92" s="106"/>
      <c r="X92" s="106"/>
      <c r="Y92" s="106"/>
      <c r="Z92" s="2"/>
      <c r="AA92" s="106"/>
      <c r="AB92" s="106"/>
      <c r="AC92" s="106"/>
      <c r="AD92" s="106"/>
      <c r="AE92" s="106"/>
      <c r="AF92" s="2"/>
      <c r="AG92" s="106"/>
      <c r="AH92" s="106"/>
      <c r="AI92" s="106"/>
      <c r="AJ92" s="106"/>
      <c r="AK92" s="106"/>
      <c r="AL92" s="2"/>
      <c r="AM92" s="106"/>
      <c r="AN92" s="106"/>
      <c r="AO92" s="106"/>
      <c r="AP92" s="106"/>
      <c r="AQ92" s="106"/>
      <c r="AR92" s="2"/>
      <c r="AS92" s="106"/>
      <c r="AT92" s="106"/>
      <c r="AU92" s="106"/>
      <c r="AV92" s="106"/>
      <c r="AW92" s="106"/>
      <c r="AX92" s="2"/>
      <c r="AY92" s="106"/>
      <c r="AZ92" s="106"/>
      <c r="BA92" s="106"/>
      <c r="BB92" s="106"/>
      <c r="BC92" s="106"/>
      <c r="BD92" s="2"/>
      <c r="BE92" s="106"/>
      <c r="BF92" s="106"/>
      <c r="BG92" s="106"/>
      <c r="BH92" s="106"/>
      <c r="BI92" s="106"/>
      <c r="BJ92" s="2"/>
      <c r="BK92" s="106"/>
      <c r="BL92" s="106"/>
      <c r="BM92" s="106"/>
      <c r="BN92" s="106"/>
      <c r="BO92" s="106"/>
      <c r="BP92" s="62"/>
      <c r="BQ92" s="106"/>
      <c r="BR92" s="106"/>
      <c r="BS92" s="106"/>
      <c r="BT92" s="106"/>
      <c r="BU92" s="106"/>
      <c r="BV92" s="2"/>
      <c r="BW92" s="106"/>
      <c r="BX92" s="106"/>
      <c r="BY92" s="106"/>
      <c r="BZ92" s="106"/>
      <c r="CA92" s="106"/>
      <c r="CB92" s="2"/>
      <c r="CC92" s="106"/>
      <c r="CD92" s="106"/>
      <c r="CE92" s="106"/>
      <c r="CF92" s="106"/>
      <c r="CG92" s="106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95" x14ac:dyDescent="0.2">
      <c r="A93" s="2" t="s">
        <v>53</v>
      </c>
      <c r="B93" s="61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2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95" x14ac:dyDescent="0.2">
      <c r="A94" s="2" t="s">
        <v>54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5">
        <v>276</v>
      </c>
      <c r="AH94" s="115">
        <v>449</v>
      </c>
      <c r="AI94" s="115">
        <v>487</v>
      </c>
      <c r="AJ94" s="115">
        <v>463</v>
      </c>
      <c r="AK94" s="2"/>
      <c r="AL94" s="2"/>
      <c r="AM94" s="115">
        <v>403</v>
      </c>
      <c r="AN94" s="115">
        <v>419</v>
      </c>
      <c r="AO94" s="115">
        <v>403</v>
      </c>
      <c r="AP94" s="115">
        <v>509</v>
      </c>
      <c r="AQ94" s="2"/>
      <c r="AR94" s="2"/>
      <c r="AS94" s="115">
        <v>488</v>
      </c>
      <c r="AT94" s="115">
        <v>502</v>
      </c>
      <c r="AU94" s="115">
        <v>550</v>
      </c>
      <c r="AV94" s="115">
        <v>568</v>
      </c>
      <c r="AW94" s="2"/>
      <c r="AX94" s="2"/>
      <c r="AY94" s="115">
        <v>573</v>
      </c>
      <c r="AZ94" s="115">
        <v>646</v>
      </c>
      <c r="BA94" s="115">
        <v>572</v>
      </c>
      <c r="BB94" s="115">
        <v>551</v>
      </c>
      <c r="BC94" s="2"/>
      <c r="BD94" s="2"/>
      <c r="BE94" s="115">
        <v>661</v>
      </c>
      <c r="BF94" s="115">
        <v>667</v>
      </c>
      <c r="BG94" s="115">
        <v>613</v>
      </c>
      <c r="BH94" s="115">
        <v>649</v>
      </c>
      <c r="BI94" s="2"/>
      <c r="BJ94" s="2"/>
      <c r="BK94" s="115">
        <v>826</v>
      </c>
      <c r="BL94" s="115">
        <v>951</v>
      </c>
      <c r="BM94" s="115">
        <v>964</v>
      </c>
      <c r="BN94" s="115">
        <v>967</v>
      </c>
      <c r="BO94" s="115"/>
      <c r="BP94" s="62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95" x14ac:dyDescent="0.2">
      <c r="A95" s="2" t="s">
        <v>55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5">
        <v>225</v>
      </c>
      <c r="AH95" s="115">
        <v>276</v>
      </c>
      <c r="AI95" s="115">
        <v>434</v>
      </c>
      <c r="AJ95" s="115">
        <v>489</v>
      </c>
      <c r="AK95" s="2"/>
      <c r="AL95" s="2"/>
      <c r="AM95" s="115">
        <v>368</v>
      </c>
      <c r="AN95" s="115">
        <v>478</v>
      </c>
      <c r="AO95" s="115">
        <v>470</v>
      </c>
      <c r="AP95" s="115">
        <v>468</v>
      </c>
      <c r="AQ95" s="2"/>
      <c r="AR95" s="2"/>
      <c r="AS95" s="115">
        <v>389</v>
      </c>
      <c r="AT95" s="115">
        <v>460.8</v>
      </c>
      <c r="AU95" s="115">
        <v>493</v>
      </c>
      <c r="AV95" s="115">
        <v>583</v>
      </c>
      <c r="AW95" s="2"/>
      <c r="AX95" s="2"/>
      <c r="AY95" s="115">
        <v>408</v>
      </c>
      <c r="AZ95" s="115">
        <v>617</v>
      </c>
      <c r="BA95" s="115">
        <v>638</v>
      </c>
      <c r="BB95" s="115">
        <v>677</v>
      </c>
      <c r="BC95" s="2"/>
      <c r="BD95" s="2"/>
      <c r="BE95" s="115">
        <v>491</v>
      </c>
      <c r="BF95" s="115">
        <v>680</v>
      </c>
      <c r="BG95" s="115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95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5"/>
      <c r="AH96" s="115"/>
      <c r="AI96" s="115"/>
      <c r="AJ96" s="115"/>
      <c r="AK96" s="2"/>
      <c r="AL96" s="2"/>
      <c r="AM96" s="115"/>
      <c r="AN96" s="115"/>
      <c r="AO96" s="115"/>
      <c r="AP96" s="115"/>
      <c r="AQ96" s="2"/>
      <c r="AR96" s="2"/>
      <c r="AS96" s="115"/>
      <c r="AT96" s="115"/>
      <c r="AU96" s="115"/>
      <c r="AV96" s="115"/>
      <c r="AW96" s="2"/>
      <c r="AX96" s="2"/>
      <c r="AY96" s="115"/>
      <c r="AZ96" s="115"/>
      <c r="BA96" s="115"/>
      <c r="BB96" s="115"/>
      <c r="BC96" s="2"/>
      <c r="BD96" s="2"/>
      <c r="BE96" s="115"/>
      <c r="BF96" s="115"/>
      <c r="BG96" s="115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1:85" x14ac:dyDescent="0.2">
      <c r="A97" s="2" t="s">
        <v>114</v>
      </c>
      <c r="B97" s="61"/>
      <c r="C97" s="59"/>
      <c r="D97" s="59">
        <v>0.97979797979797978</v>
      </c>
      <c r="E97" s="59">
        <v>0.94871794871794868</v>
      </c>
      <c r="F97" s="59">
        <v>0.85074626865671643</v>
      </c>
      <c r="G97" s="2"/>
      <c r="H97" s="2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2"/>
      <c r="N97" s="2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2"/>
      <c r="T97" s="2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2"/>
      <c r="Z97" s="2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2"/>
      <c r="AF97" s="2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2"/>
      <c r="AL97" s="2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2"/>
      <c r="AR97" s="2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2"/>
      <c r="AX97" s="2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2"/>
      <c r="BD97" s="2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2"/>
      <c r="BJ97" s="2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2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2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2"/>
      <c r="CC97" s="59">
        <f>CC95/BZ93</f>
        <v>0.77777777777777779</v>
      </c>
      <c r="CD97" s="59">
        <f>CD95/CC93</f>
        <v>0.66005221932114877</v>
      </c>
      <c r="CE97" s="59">
        <f>CE95/CD93</f>
        <v>0.7394043528064147</v>
      </c>
      <c r="CF97" s="59">
        <f>CF95/CE93</f>
        <v>0.84521515735388564</v>
      </c>
      <c r="CG97" s="59"/>
    </row>
    <row r="98" spans="1:85" x14ac:dyDescent="0.2">
      <c r="A98" s="2"/>
      <c r="B98" s="61"/>
      <c r="C98" s="59"/>
      <c r="D98" s="59"/>
      <c r="E98" s="59"/>
      <c r="F98" s="59"/>
      <c r="G98" s="2"/>
      <c r="H98" s="2"/>
      <c r="I98" s="59"/>
      <c r="J98" s="59"/>
      <c r="K98" s="59"/>
      <c r="L98" s="59"/>
      <c r="M98" s="2"/>
      <c r="N98" s="2"/>
      <c r="O98" s="59"/>
      <c r="P98" s="59"/>
      <c r="Q98" s="59"/>
      <c r="R98" s="59"/>
      <c r="S98" s="2"/>
      <c r="T98" s="2"/>
      <c r="U98" s="59"/>
      <c r="V98" s="59"/>
      <c r="W98" s="59"/>
      <c r="X98" s="59"/>
      <c r="Y98" s="2"/>
      <c r="Z98" s="2"/>
      <c r="AA98" s="59"/>
      <c r="AB98" s="59"/>
      <c r="AC98" s="59"/>
      <c r="AD98" s="59"/>
      <c r="AE98" s="2"/>
      <c r="AF98" s="2"/>
      <c r="AG98" s="59"/>
      <c r="AH98" s="59"/>
      <c r="AI98" s="59"/>
      <c r="AJ98" s="59"/>
      <c r="AK98" s="2"/>
      <c r="AL98" s="2"/>
      <c r="AM98" s="59"/>
      <c r="AN98" s="59"/>
      <c r="AO98" s="59"/>
      <c r="AP98" s="59"/>
      <c r="AQ98" s="2"/>
      <c r="AR98" s="2"/>
      <c r="AS98" s="59"/>
      <c r="AT98" s="59"/>
      <c r="AU98" s="59"/>
      <c r="AV98" s="59"/>
      <c r="AW98" s="2"/>
      <c r="AX98" s="2"/>
      <c r="AY98" s="59"/>
      <c r="AZ98" s="59"/>
      <c r="BA98" s="59"/>
      <c r="BB98" s="59"/>
      <c r="BC98" s="2"/>
      <c r="BD98" s="2"/>
      <c r="BE98" s="59"/>
      <c r="BF98" s="59"/>
      <c r="BG98" s="59"/>
      <c r="BH98" s="59"/>
      <c r="BI98" s="2"/>
      <c r="BJ98" s="2"/>
      <c r="BK98" s="59"/>
      <c r="BL98" s="59"/>
      <c r="BM98" s="59"/>
      <c r="BN98" s="59"/>
      <c r="BO98" s="59"/>
      <c r="BP98" s="62"/>
      <c r="BQ98" s="59"/>
      <c r="BR98" s="59"/>
      <c r="BS98" s="59"/>
      <c r="BT98" s="59"/>
      <c r="BU98" s="59"/>
      <c r="BV98" s="2"/>
      <c r="BW98" s="59"/>
      <c r="BX98" s="59"/>
      <c r="BY98" s="59"/>
      <c r="BZ98" s="59"/>
      <c r="CA98" s="59"/>
      <c r="CB98" s="2"/>
      <c r="CC98" s="59"/>
      <c r="CD98" s="59"/>
      <c r="CE98" s="59"/>
      <c r="CF98" s="59"/>
      <c r="CG98" s="59"/>
    </row>
    <row r="99" spans="1:85" x14ac:dyDescent="0.2">
      <c r="A99" s="2"/>
      <c r="B99" s="6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143"/>
      <c r="BG99" s="143"/>
      <c r="BH99" s="143"/>
      <c r="BI99" s="54"/>
      <c r="BJ99" s="54"/>
      <c r="BK99" s="54"/>
      <c r="BL99" s="54"/>
      <c r="BM99" s="54"/>
      <c r="BN99" s="54"/>
      <c r="BO99" s="54"/>
      <c r="BP99" s="62"/>
      <c r="BQ99" s="54"/>
      <c r="BR99" s="54"/>
      <c r="BS99" s="54"/>
      <c r="BT99" s="54"/>
      <c r="BU99" s="54"/>
      <c r="BV99" s="2"/>
      <c r="BW99" s="54"/>
      <c r="BX99" s="54"/>
      <c r="BY99" s="54"/>
      <c r="BZ99" s="54"/>
      <c r="CA99" s="54"/>
      <c r="CB99" s="2"/>
      <c r="CC99" s="2"/>
      <c r="CD99" s="2"/>
      <c r="CE99" s="2"/>
      <c r="CF99" s="2"/>
      <c r="CG99" s="2"/>
    </row>
    <row r="100" spans="1:85" x14ac:dyDescent="0.2">
      <c r="A100" s="2"/>
      <c r="B100" s="6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62"/>
      <c r="BQ100" s="54"/>
      <c r="BR100" s="54"/>
      <c r="BS100" s="54"/>
      <c r="BT100" s="54"/>
      <c r="BU100" s="54"/>
      <c r="BV100" s="2"/>
      <c r="BW100" s="54"/>
      <c r="BX100" s="54"/>
      <c r="BY100" s="54"/>
      <c r="BZ100" s="54"/>
      <c r="CA100" s="54"/>
      <c r="CB100" s="2"/>
      <c r="CC100" s="2"/>
      <c r="CD100" s="2"/>
      <c r="CE100" s="2"/>
      <c r="CF100" s="2"/>
      <c r="CG100" s="2"/>
    </row>
    <row r="101" spans="1:85" x14ac:dyDescent="0.2">
      <c r="A101" s="2"/>
      <c r="B101" s="6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62"/>
      <c r="BQ101" s="54"/>
      <c r="BR101" s="54"/>
      <c r="BS101" s="54"/>
      <c r="BT101" s="54"/>
      <c r="BU101" s="54"/>
      <c r="BV101" s="2"/>
      <c r="BW101" s="54"/>
      <c r="BX101" s="54"/>
      <c r="BY101" s="54"/>
      <c r="BZ101" s="54"/>
      <c r="CA101" s="54"/>
      <c r="CB101" s="2"/>
      <c r="CC101" s="2"/>
      <c r="CD101" s="2"/>
      <c r="CE101" s="2"/>
      <c r="CF101" s="2"/>
      <c r="CG101" s="2"/>
    </row>
    <row r="102" spans="1:85" x14ac:dyDescent="0.2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62"/>
      <c r="BQ102" s="54"/>
      <c r="BR102" s="54"/>
      <c r="BS102" s="54"/>
      <c r="BT102" s="54"/>
      <c r="BU102" s="54"/>
      <c r="BV102" s="2"/>
      <c r="BW102" s="54"/>
      <c r="BX102" s="54"/>
      <c r="BY102" s="54"/>
      <c r="BZ102" s="54"/>
      <c r="CA102" s="54"/>
    </row>
    <row r="103" spans="1:85" x14ac:dyDescent="0.2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62"/>
      <c r="BQ103" s="54"/>
      <c r="BR103" s="54"/>
      <c r="BS103" s="54"/>
      <c r="BT103" s="54"/>
      <c r="BU103" s="54"/>
      <c r="BV103" s="2"/>
      <c r="BW103" s="54"/>
      <c r="BX103" s="54"/>
      <c r="BY103" s="54"/>
      <c r="BZ103" s="54"/>
      <c r="CA103" s="54"/>
    </row>
    <row r="104" spans="1:85" x14ac:dyDescent="0.2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62"/>
      <c r="BQ104" s="54"/>
      <c r="BR104" s="54"/>
      <c r="BS104" s="54"/>
      <c r="BT104" s="54"/>
      <c r="BU104" s="54"/>
      <c r="BV104" s="2"/>
      <c r="BW104" s="54"/>
      <c r="BX104" s="54"/>
      <c r="BY104" s="54"/>
      <c r="BZ104" s="54"/>
      <c r="CA104" s="54"/>
    </row>
    <row r="105" spans="1:85" x14ac:dyDescent="0.2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62"/>
      <c r="BQ105" s="54"/>
      <c r="BR105" s="54"/>
      <c r="BS105" s="54"/>
      <c r="BT105" s="54"/>
      <c r="BU105" s="54"/>
      <c r="BV105" s="2"/>
      <c r="BW105" s="54"/>
      <c r="BX105" s="54"/>
      <c r="BY105" s="54"/>
      <c r="BZ105" s="54"/>
      <c r="CA105" s="54"/>
    </row>
    <row r="106" spans="1:85" x14ac:dyDescent="0.2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62"/>
      <c r="BQ106" s="54"/>
      <c r="BR106" s="54"/>
      <c r="BS106" s="54"/>
      <c r="BT106" s="54"/>
      <c r="BU106" s="54"/>
      <c r="BV106" s="2"/>
      <c r="BW106" s="54"/>
      <c r="BX106" s="54"/>
      <c r="BY106" s="54"/>
      <c r="BZ106" s="54"/>
      <c r="CA106" s="54"/>
    </row>
    <row r="107" spans="1:85" x14ac:dyDescent="0.2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62"/>
      <c r="BQ107" s="54"/>
      <c r="BR107" s="54"/>
      <c r="BS107" s="54"/>
      <c r="BT107" s="54"/>
      <c r="BU107" s="54"/>
      <c r="BV107" s="2"/>
      <c r="BW107" s="54"/>
      <c r="BX107" s="54"/>
      <c r="BY107" s="54"/>
      <c r="BZ107" s="54"/>
      <c r="CA107" s="54"/>
    </row>
    <row r="108" spans="1:85" x14ac:dyDescent="0.2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62"/>
      <c r="BQ108" s="54"/>
      <c r="BR108" s="54"/>
      <c r="BS108" s="54"/>
      <c r="BT108" s="54"/>
      <c r="BU108" s="54"/>
      <c r="BV108" s="2"/>
      <c r="BW108" s="54"/>
      <c r="BX108" s="54"/>
      <c r="BY108" s="54"/>
      <c r="BZ108" s="54"/>
      <c r="CA108" s="54"/>
    </row>
    <row r="109" spans="1:85" x14ac:dyDescent="0.2">
      <c r="F109" s="2" t="s">
        <v>58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6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3" ma:contentTypeDescription="Create a new document." ma:contentTypeScope="" ma:versionID="93e53a4ac16ea0dfbd1d104721f4ae76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37da145a9321a5395cf682b4e83a56d7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D7C99-4120-44AB-BE89-5BBD43CC8B0B}"/>
</file>

<file path=customXml/itemProps2.xml><?xml version="1.0" encoding="utf-8"?>
<ds:datastoreItem xmlns:ds="http://schemas.openxmlformats.org/officeDocument/2006/customXml" ds:itemID="{5E552C3A-F64D-4503-A4C7-64B6DA47A495}">
  <ds:schemaRefs>
    <ds:schemaRef ds:uri="http://www.w3.org/XML/1998/namespace"/>
    <ds:schemaRef ds:uri="http://purl.org/dc/terms/"/>
    <ds:schemaRef ds:uri="79f9c740-adeb-4398-ae7a-5460a9009e2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bcad49e-2305-4185-94a0-1501bd7694a9"/>
  </ds:schemaRefs>
</ds:datastoreItem>
</file>

<file path=customXml/itemProps3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2021-07-13T07:30:00Z</cp:lastPrinted>
  <dcterms:created xsi:type="dcterms:W3CDTF">2006-07-12T08:13:16Z</dcterms:created>
  <dcterms:modified xsi:type="dcterms:W3CDTF">2021-07-14T12:05:00Z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</Properties>
</file>